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showInkAnnotation="0" codeName="ThisWorkbook" autoCompressPictures="0"/>
  <mc:AlternateContent xmlns:mc="http://schemas.openxmlformats.org/markup-compatibility/2006">
    <mc:Choice Requires="x15">
      <x15ac:absPath xmlns:x15ac="http://schemas.microsoft.com/office/spreadsheetml/2010/11/ac" url="/Users/hiconcepts/Desktop/"/>
    </mc:Choice>
  </mc:AlternateContent>
  <xr:revisionPtr revIDLastSave="0" documentId="8_{C5AC00F4-E9C3-134F-A440-89164812D63F}" xr6:coauthVersionLast="47" xr6:coauthVersionMax="47" xr10:uidLastSave="{00000000-0000-0000-0000-000000000000}"/>
  <bookViews>
    <workbookView xWindow="0" yWindow="500" windowWidth="28800" windowHeight="15720" tabRatio="801" activeTab="6" xr2:uid="{00000000-000D-0000-FFFF-FFFF00000000}"/>
  </bookViews>
  <sheets>
    <sheet name="Directions" sheetId="1" state="hidden" r:id="rId1"/>
    <sheet name="1-StartingPoint" sheetId="2" state="hidden" r:id="rId2"/>
    <sheet name="4-AdditionalInputs" sheetId="24" state="hidden" r:id="rId3"/>
    <sheet name="2a-PayrollYear1" sheetId="28" state="hidden" r:id="rId4"/>
    <sheet name="2b-PayrollYrs1-3" sheetId="37" state="hidden" r:id="rId5"/>
    <sheet name="Instructions" sheetId="45" r:id="rId6"/>
    <sheet name="1-StartingPoint (2)" sheetId="49" r:id="rId7"/>
    <sheet name="SalesForecastYear1" sheetId="17" r:id="rId8"/>
    <sheet name="3b-SalesForecastYrs1-3" sheetId="21" state="hidden" r:id="rId9"/>
    <sheet name="5a-OpExYear1" sheetId="22" state="hidden" r:id="rId10"/>
    <sheet name="5b-OpExYrs1-3" sheetId="7" state="hidden" r:id="rId11"/>
    <sheet name="6a-CashFlowYear1" sheetId="25" state="hidden" r:id="rId12"/>
    <sheet name="6b-CashFlowYrs1-3" sheetId="38" state="hidden" r:id="rId13"/>
    <sheet name="7a-IncomeStatementYear1" sheetId="39" state="hidden" r:id="rId14"/>
    <sheet name="7b-IncomeStatementYrs1-3" sheetId="6" state="hidden" r:id="rId15"/>
    <sheet name="8-BalanceSheet" sheetId="5" state="hidden" r:id="rId16"/>
    <sheet name="BreakevenAnalysis" sheetId="26" state="hidden" r:id="rId17"/>
    <sheet name="FinancialRatios" sheetId="27" state="hidden" r:id="rId18"/>
    <sheet name="DiagnosticTools" sheetId="36" state="hidden" r:id="rId19"/>
    <sheet name="Pay Calculator" sheetId="29" r:id="rId20"/>
    <sheet name="Amortization&amp;Depreciation" sheetId="31" state="hidden" r:id="rId21"/>
    <sheet name="Tuition Calculator V2" sheetId="44" r:id="rId22"/>
    <sheet name="Annual PL Template" sheetId="41" r:id="rId23"/>
    <sheet name="Monthly Budget" sheetId="50" r:id="rId24"/>
    <sheet name="Rules of Thumb" sheetId="47" r:id="rId25"/>
    <sheet name="Sheet1" sheetId="48" r:id="rId26"/>
  </sheets>
  <externalReferences>
    <externalReference r:id="rId27"/>
    <externalReference r:id="rId28"/>
  </externalReferences>
  <definedNames>
    <definedName name="AddLoans" localSheetId="6">'1-StartingPoint (2)'!$D$36</definedName>
    <definedName name="AddLoans">'1-StartingPoint'!$D$36</definedName>
    <definedName name="Advertising" localSheetId="6">'1-StartingPoint (2)'!$C$26</definedName>
    <definedName name="Advertising">'1-StartingPoint'!$C$26</definedName>
    <definedName name="Annual_Interest_Rate" localSheetId="6">#REF!</definedName>
    <definedName name="Annual_Interest_Rate" localSheetId="18">#REF!</definedName>
    <definedName name="Annual_Interest_Rate" localSheetId="23">#REF!</definedName>
    <definedName name="Annual_Interest_Rate">#REF!</definedName>
    <definedName name="Beg_Bal" localSheetId="18">#REF!</definedName>
    <definedName name="Beg_Bal" localSheetId="23">#REF!</definedName>
    <definedName name="Beg_Bal">#REF!</definedName>
    <definedName name="Buildings" localSheetId="6">'1-StartingPoint (2)'!$C$10</definedName>
    <definedName name="Buildings" localSheetId="23">'[1]6 month Budget'!$C$10</definedName>
    <definedName name="Buildings">'1-StartingPoint'!$C$10</definedName>
    <definedName name="Category1" localSheetId="23">'[1]6 month Budget'!$B$8</definedName>
    <definedName name="Category1">SalesForecastYear1!$B$8</definedName>
    <definedName name="Category1_Annual_Sales" localSheetId="6">'[2]3a-SalesForecastYear1'!$O$23</definedName>
    <definedName name="Category1_Annual_Sales" localSheetId="23">'[1]6 month Budget'!$I$26</definedName>
    <definedName name="Category1_Annual_Sales">SalesForecastYear1!$O$26</definedName>
    <definedName name="Category1_SalesPrice" localSheetId="6">'[2]3a-SalesForecastYear1'!#REF!</definedName>
    <definedName name="Category1_SalesPrice" localSheetId="23">'[1]6 month Budget'!#REF!</definedName>
    <definedName name="Category1_SalesPrice">SalesForecastYear1!#REF!</definedName>
    <definedName name="Category10" localSheetId="23">#REF!</definedName>
    <definedName name="Category10">SalesForecastYear1!$B$21</definedName>
    <definedName name="Category10_Annual_Sales" localSheetId="6">'[2]3a-SalesForecastYear1'!$O$77</definedName>
    <definedName name="Category10_Annual_Sales" localSheetId="23">'[1]6 month Budget'!#REF!</definedName>
    <definedName name="Category10_Annual_Sales">SalesForecastYear1!#REF!</definedName>
    <definedName name="Category10_Sales" localSheetId="23">'[1]6 month Budget'!#REF!</definedName>
    <definedName name="Category10_Sales">SalesForecastYear1!#REF!</definedName>
    <definedName name="Category11" localSheetId="23">'[1]6 month Budget'!#REF!</definedName>
    <definedName name="Category11">SalesForecastYear1!#REF!</definedName>
    <definedName name="Category2" localSheetId="23">'[1]6 month Budget'!$B$9</definedName>
    <definedName name="Category2">SalesForecastYear1!$B$9</definedName>
    <definedName name="Category2_Annual_Sales" localSheetId="6">'[2]3a-SalesForecastYear1'!$O$29</definedName>
    <definedName name="Category2_Annual_Sales" localSheetId="23">'[1]6 month Budget'!$I$35</definedName>
    <definedName name="Category2_Annual_Sales">SalesForecastYear1!$O$35</definedName>
    <definedName name="Category2_SalesPrice" localSheetId="6">'[2]3a-SalesForecastYear1'!#REF!</definedName>
    <definedName name="Category2_SalesPrice" localSheetId="23">'[1]6 month Budget'!#REF!</definedName>
    <definedName name="Category2_SalesPrice">SalesForecastYear1!#REF!</definedName>
    <definedName name="Category23" localSheetId="23">'[1]6 month Budget'!#REF!</definedName>
    <definedName name="Category23">SalesForecastYear1!#REF!</definedName>
    <definedName name="Category3" localSheetId="23">'[1]6 month Budget'!$B$10</definedName>
    <definedName name="Category3">SalesForecastYear1!$B$10</definedName>
    <definedName name="Category3_Annual_Sales" localSheetId="6">'[2]3a-SalesForecastYear1'!$O$35</definedName>
    <definedName name="Category3_Annual_Sales" localSheetId="23">'[1]6 month Budget'!$I$42</definedName>
    <definedName name="Category3_Annual_Sales">SalesForecastYear1!$O$42</definedName>
    <definedName name="Category3_SalesPrice" localSheetId="6">'[2]3a-SalesForecastYear1'!#REF!</definedName>
    <definedName name="Category3_SalesPrice" localSheetId="23">'[1]6 month Budget'!#REF!</definedName>
    <definedName name="Category3_SalesPrice">SalesForecastYear1!#REF!</definedName>
    <definedName name="Category4" localSheetId="23">'[1]6 month Budget'!$B$11</definedName>
    <definedName name="Category4">SalesForecastYear1!$B$11</definedName>
    <definedName name="Category4_Annual_Sales" localSheetId="6">'[2]3a-SalesForecastYear1'!$O$41</definedName>
    <definedName name="Category4_Annual_Sales" localSheetId="23">'[1]6 month Budget'!$I$49</definedName>
    <definedName name="Category4_Annual_Sales">SalesForecastYear1!$O$49</definedName>
    <definedName name="Category4_SalesPrice" localSheetId="6">'[2]3a-SalesForecastYear1'!#REF!</definedName>
    <definedName name="Category4_SalesPrice" localSheetId="23">'[1]6 month Budget'!#REF!</definedName>
    <definedName name="Category4_SalesPrice">SalesForecastYear1!#REF!</definedName>
    <definedName name="Category5" localSheetId="23">'[1]6 month Budget'!$B$13</definedName>
    <definedName name="Category5">SalesForecastYear1!$B$12</definedName>
    <definedName name="Category5_Annual_Sales" localSheetId="6">'[2]3a-SalesForecastYear1'!$O$47</definedName>
    <definedName name="Category5_Annual_Sales" localSheetId="23">'[1]6 month Budget'!$I$56</definedName>
    <definedName name="Category5_Annual_Sales">SalesForecastYear1!$O$56</definedName>
    <definedName name="Category5_SalesPrice" localSheetId="6">'[2]3a-SalesForecastYear1'!#REF!</definedName>
    <definedName name="Category5_SalesPrice" localSheetId="23">'[1]6 month Budget'!#REF!</definedName>
    <definedName name="Category5_SalesPrice">SalesForecastYear1!#REF!</definedName>
    <definedName name="Category6" localSheetId="23">'[1]6 month Budget'!$B$14</definedName>
    <definedName name="Category6">SalesForecastYear1!$B$13</definedName>
    <definedName name="Category6_Annual_Sales" localSheetId="6">'[2]3a-SalesForecastYear1'!$O$53</definedName>
    <definedName name="Category6_Annual_Sales" localSheetId="23">'[1]6 month Budget'!#REF!</definedName>
    <definedName name="Category6_Annual_Sales">SalesForecastYear1!#REF!</definedName>
    <definedName name="Category6_SalesPrice" localSheetId="6">'[2]3a-SalesForecastYear1'!#REF!</definedName>
    <definedName name="Category6_SalesPrice" localSheetId="23">'[1]6 month Budget'!#REF!</definedName>
    <definedName name="Category6_SalesPrice">SalesForecastYear1!#REF!</definedName>
    <definedName name="Category7" localSheetId="23">'[1]6 month Budget'!$B$15</definedName>
    <definedName name="Category7">SalesForecastYear1!$B$14</definedName>
    <definedName name="category7_Annual_sales" localSheetId="6">'[2]3a-SalesForecastYear1'!$O$59</definedName>
    <definedName name="category7_Annual_sales" localSheetId="23">'[1]6 month Budget'!$I$70</definedName>
    <definedName name="category7_Annual_sales">SalesForecastYear1!$O$70</definedName>
    <definedName name="Category7_Sales" localSheetId="23">#REF!</definedName>
    <definedName name="Category7_Sales">SalesForecastYear1!$O$70</definedName>
    <definedName name="Category8" localSheetId="23">'[1]6 month Budget'!#REF!</definedName>
    <definedName name="Category8">SalesForecastYear1!#REF!</definedName>
    <definedName name="Category8_Annual_Sales" localSheetId="6">'[2]3a-SalesForecastYear1'!$O$65</definedName>
    <definedName name="Category8_Annual_Sales" localSheetId="23">'[1]6 month Budget'!$I$63</definedName>
    <definedName name="Category8_Annual_Sales">SalesForecastYear1!$O$63</definedName>
    <definedName name="Category8_Sales" localSheetId="23">#REF!</definedName>
    <definedName name="Category8_Sales">SalesForecastYear1!$O$63</definedName>
    <definedName name="Category9" localSheetId="23">'[1]6 month Budget'!$B$17</definedName>
    <definedName name="Category9">SalesForecastYear1!$B$17</definedName>
    <definedName name="Category9_Annual_Sales" localSheetId="6">'[2]3a-SalesForecastYear1'!$O$71</definedName>
    <definedName name="Category9_Annual_Sales" localSheetId="23">'[1]6 month Budget'!$I$77</definedName>
    <definedName name="Category9_Annual_Sales">SalesForecastYear1!$O$77</definedName>
    <definedName name="Category9_Sales" localSheetId="23">#REF!</definedName>
    <definedName name="Category9_Sales">SalesForecastYear1!$O$77</definedName>
    <definedName name="Catergory6" localSheetId="23">#REF!</definedName>
    <definedName name="Catergory6">SalesForecastYear1!$B$13</definedName>
    <definedName name="CCDebt" localSheetId="6">'1-StartingPoint (2)'!$D$39</definedName>
    <definedName name="CCDebt" localSheetId="23">'[1]6 month Budget'!$D$39</definedName>
    <definedName name="CCDebt">'1-StartingPoint'!$D$39</definedName>
    <definedName name="COGS_Annual_Total" localSheetId="6">'[2]3a-SalesForecastYear1'!$O$83</definedName>
    <definedName name="COGS_Annual_Total" localSheetId="23">'[1]6 month Budget'!#REF!</definedName>
    <definedName name="COGS_Annual_Total">SalesForecastYear1!#REF!</definedName>
    <definedName name="CommLoan" localSheetId="6">'1-StartingPoint (2)'!$D$37</definedName>
    <definedName name="CommLoan" localSheetId="23">'[1]6 month Budget'!$D$37</definedName>
    <definedName name="CommLoan">'1-StartingPoint'!$D$37</definedName>
    <definedName name="CommMortgage" localSheetId="6">'1-StartingPoint (2)'!$D$38</definedName>
    <definedName name="CommMortgage" localSheetId="23">'[1]6 month Budget'!$D$38</definedName>
    <definedName name="CommMortgage">'1-StartingPoint'!$D$38</definedName>
    <definedName name="ContingencyCash" localSheetId="6">'1-StartingPoint (2)'!#REF!</definedName>
    <definedName name="ContingencyCash" localSheetId="23">'[1]6 month Budget'!#REF!</definedName>
    <definedName name="ContingencyCash">'1-StartingPoint'!#REF!</definedName>
    <definedName name="Equipment" localSheetId="6">'1-StartingPoint (2)'!$C$12</definedName>
    <definedName name="Equipment" localSheetId="23">'[1]6 month Budget'!$C$12</definedName>
    <definedName name="Equipment">'1-StartingPoint'!$C$12</definedName>
    <definedName name="Extra_Pay" localSheetId="6">#REF!</definedName>
    <definedName name="Extra_Pay" localSheetId="18">#REF!</definedName>
    <definedName name="Extra_Pay" localSheetId="23">#REF!</definedName>
    <definedName name="Extra_Pay">#REF!</definedName>
    <definedName name="Furniture" localSheetId="6">'1-StartingPoint (2)'!$C$13</definedName>
    <definedName name="Furniture" localSheetId="23">'[1]6 month Budget'!$C$13</definedName>
    <definedName name="Furniture">'1-StartingPoint'!$C$13</definedName>
    <definedName name="gg" localSheetId="23">#REF!</definedName>
    <definedName name="gg">#REF!</definedName>
    <definedName name="Growth_Rate_Yr2">'3b-SalesForecastYrs1-3'!$C$7</definedName>
    <definedName name="Growth_Rate_Yr3">'3b-SalesForecastYrs1-3'!$C$8</definedName>
    <definedName name="Hours" localSheetId="7">SalesForecastYear1!$E$8:$E$13</definedName>
    <definedName name="Info_Entered" localSheetId="6">#REF!</definedName>
    <definedName name="Info_Entered" localSheetId="18">#REF!</definedName>
    <definedName name="Info_Entered" localSheetId="23">#REF!</definedName>
    <definedName name="Info_Entered">#REF!</definedName>
    <definedName name="Int" localSheetId="18">#REF!</definedName>
    <definedName name="Int" localSheetId="23">#REF!</definedName>
    <definedName name="Int">#REF!</definedName>
    <definedName name="InterestRate_ShortTerm" localSheetId="18">#REF!</definedName>
    <definedName name="InterestRate_ShortTerm" localSheetId="23">#REF!</definedName>
    <definedName name="InterestRate_ShortTerm">#REF!</definedName>
    <definedName name="Inventory" localSheetId="6">'1-StartingPoint (2)'!$C$21</definedName>
    <definedName name="Inventory" localSheetId="23">'[1]6 month Budget'!$C$21</definedName>
    <definedName name="Inventory">'1-StartingPoint'!$C$21</definedName>
    <definedName name="Land" localSheetId="6">'1-StartingPoint (2)'!$C$9</definedName>
    <definedName name="Land" localSheetId="23">'[1]6 month Budget'!$C$9</definedName>
    <definedName name="Land">'1-StartingPoint'!$C$9</definedName>
    <definedName name="Last_Row" localSheetId="6">IF('1-StartingPoint (2)'!Values_Entered,Header_Row+'1-StartingPoint (2)'!Number_of_Payments,Header_Row)</definedName>
    <definedName name="Last_Row" localSheetId="18">IF(DiagnosticTools!Values_Entered,Header_Row+DiagnosticTools!Number_of_Payments,Header_Row)</definedName>
    <definedName name="Last_Row" localSheetId="23">IF('Monthly Budget'!Values_Entered,Header_Row+'Monthly Budget'!Number_of_Payments,Header_Row)</definedName>
    <definedName name="Last_Row">IF(Values_Entered,Header_Row+Number_of_Payments,Header_Row)</definedName>
    <definedName name="LeaseImprovements" localSheetId="6">'1-StartingPoint (2)'!$C$11</definedName>
    <definedName name="LeaseImprovements" localSheetId="23">'[1]6 month Budget'!$C$11</definedName>
    <definedName name="LeaseImprovements">'1-StartingPoint'!$C$11</definedName>
    <definedName name="LegalAcctFees" localSheetId="6">'1-StartingPoint (2)'!$C$22</definedName>
    <definedName name="LegalAcctFees">'1-StartingPoint'!$C$22</definedName>
    <definedName name="Licenses" localSheetId="6">'1-StartingPoint (2)'!$C$27</definedName>
    <definedName name="Licenses">'1-StartingPoint'!$C$27</definedName>
    <definedName name="Loan_Amount" localSheetId="6">#REF!</definedName>
    <definedName name="Loan_Amount" localSheetId="18">#REF!</definedName>
    <definedName name="Loan_Amount" localSheetId="23">#REF!</definedName>
    <definedName name="Loan_Amount">#REF!</definedName>
    <definedName name="Loan_Term_Years" localSheetId="18">#REF!</definedName>
    <definedName name="Loan_Term_Years" localSheetId="23">#REF!</definedName>
    <definedName name="Loan_Term_Years">#REF!</definedName>
    <definedName name="LoanAmount_ShortTerm" localSheetId="18">#REF!</definedName>
    <definedName name="LoanAmount_ShortTerm" localSheetId="23">#REF!</definedName>
    <definedName name="LoanAmount_ShortTerm">#REF!</definedName>
    <definedName name="LoanTermYears_ShortTerm" localSheetId="18">#REF!</definedName>
    <definedName name="LoanTermYears_ShortTerm" localSheetId="23">#REF!</definedName>
    <definedName name="LoanTermYears_ShortTerm">#REF!</definedName>
    <definedName name="Margin_Annual_Total" localSheetId="6">'[2]3a-SalesForecastYear1'!$O$84</definedName>
    <definedName name="Margin_Annual_Total" localSheetId="23">'[1]6 month Budget'!#REF!</definedName>
    <definedName name="Margin_Annual_Total">SalesForecastYear1!#REF!</definedName>
    <definedName name="Misc_Expenses">'5a-OpExYear1'!$O$19</definedName>
    <definedName name="Monthly_Payment_LongTerm" localSheetId="6">#REF!</definedName>
    <definedName name="Monthly_Payment_LongTerm" localSheetId="18">#REF!</definedName>
    <definedName name="Monthly_Payment_LongTerm" localSheetId="23">#REF!</definedName>
    <definedName name="Monthly_Payment_LongTerm">#REF!</definedName>
    <definedName name="NetIncomeY1" localSheetId="6">'[2]7b-IncomeStatementYrs1-3'!$C$67</definedName>
    <definedName name="NetIncomeY1" localSheetId="23">'[1]Tuition Forecast'!$C$67</definedName>
    <definedName name="NetIncomeY1">'7b-IncomeStatementYrs1-3'!$C$67</definedName>
    <definedName name="NetIncomeY2" localSheetId="6">'[2]7b-IncomeStatementYrs1-3'!$E$67</definedName>
    <definedName name="NetIncomeY2" localSheetId="23">'[1]Tuition Forecast'!$E$67</definedName>
    <definedName name="NetIncomeY2">'7b-IncomeStatementYrs1-3'!$E$67</definedName>
    <definedName name="NetIncomeY3" localSheetId="6">'[2]7b-IncomeStatementYrs1-3'!$G$67</definedName>
    <definedName name="NetIncomeY3" localSheetId="23">'[1]Tuition Forecast'!$G$67</definedName>
    <definedName name="NetIncomeY3">'7b-IncomeStatementYrs1-3'!$G$67</definedName>
    <definedName name="Number_of_Payments" localSheetId="6">MATCH(0.01,End_Bal,-1)+1</definedName>
    <definedName name="Number_of_Payments" localSheetId="18">MATCH(0.01,End_Bal,-1)+1</definedName>
    <definedName name="Number_of_Payments" localSheetId="23">MATCH(0.01,End_Bal,-1)+1</definedName>
    <definedName name="Number_of_Payments">MATCH(0.01,End_Bal,-1)+1</definedName>
    <definedName name="OfficeSupplies_Expenses">'5a-OpExYear1'!$O$20</definedName>
    <definedName name="Other_Expenses">'5a-OpExYear1'!$O$21</definedName>
    <definedName name="OtherBankDebt" localSheetId="6">'1-StartingPoint (2)'!$D$41</definedName>
    <definedName name="OtherBankDebt" localSheetId="23">'[1]6 month Budget'!$D$41</definedName>
    <definedName name="OtherBankDebt">'1-StartingPoint'!$D$41</definedName>
    <definedName name="OtherFixedAssets" localSheetId="6">'1-StartingPoint (2)'!$C$15</definedName>
    <definedName name="OtherFixedAssets" localSheetId="23">'[1]6 month Budget'!$C$15</definedName>
    <definedName name="OtherFixedAssets">'1-StartingPoint'!$C$15</definedName>
    <definedName name="OtherStartUp" localSheetId="6">'1-StartingPoint (2)'!$C$28</definedName>
    <definedName name="OtherStartUp" localSheetId="23">'[1]6 month Budget'!$C$28</definedName>
    <definedName name="OtherStartUp">'1-StartingPoint'!$C$28</definedName>
    <definedName name="OutsideInvest" localSheetId="6">'1-StartingPoint (2)'!$D$35</definedName>
    <definedName name="OutsideInvest" localSheetId="23">'[1]6 month Budget'!$D$35</definedName>
    <definedName name="OutsideInvest">'1-StartingPoint'!$D$35</definedName>
    <definedName name="OwnerEquity" localSheetId="6">'1-StartingPoint (2)'!$D$34</definedName>
    <definedName name="OwnerEquity" localSheetId="23">'[1]6 month Budget'!$D$34</definedName>
    <definedName name="OwnerEquity">'1-StartingPoint'!$D$34</definedName>
    <definedName name="Pay_Num" localSheetId="6">#REF!</definedName>
    <definedName name="Pay_Num" localSheetId="18">#REF!</definedName>
    <definedName name="Pay_Num" localSheetId="23">#REF!</definedName>
    <definedName name="Pay_Num">#REF!</definedName>
    <definedName name="Payments_per_Year" localSheetId="18">#REF!</definedName>
    <definedName name="Payments_per_Year" localSheetId="23">#REF!</definedName>
    <definedName name="Payments_per_Year">#REF!</definedName>
    <definedName name="PreOpenWages" localSheetId="6">'1-StartingPoint (2)'!$C$19</definedName>
    <definedName name="PreOpenWages">'1-StartingPoint'!$C$19</definedName>
    <definedName name="PrepaidInsurance" localSheetId="6">'1-StartingPoint (2)'!$C$20</definedName>
    <definedName name="PrepaidInsurance">'1-StartingPoint'!$C$20</definedName>
    <definedName name="PricePerUnit_Annual_Total" localSheetId="6">'[2]3a-SalesForecastYear1'!#REF!</definedName>
    <definedName name="PricePerUnit_Annual_Total" localSheetId="23">'[1]6 month Budget'!#REF!</definedName>
    <definedName name="PricePerUnit_Annual_Total">SalesForecastYear1!#REF!</definedName>
    <definedName name="Princ" localSheetId="6">#REF!</definedName>
    <definedName name="Princ" localSheetId="18">#REF!</definedName>
    <definedName name="Princ" localSheetId="23">#REF!</definedName>
    <definedName name="Princ">#REF!</definedName>
    <definedName name="_xlnm.Print_Area" localSheetId="1">'1-StartingPoint'!$B$4:$H$52</definedName>
    <definedName name="_xlnm.Print_Area" localSheetId="6">'1-StartingPoint (2)'!$B$4:$H$52</definedName>
    <definedName name="_xlnm.Print_Area" localSheetId="3">'2a-PayrollYear1'!$A$4:$R$25</definedName>
    <definedName name="_xlnm.Print_Area" localSheetId="4">'2b-PayrollYrs1-3'!$B$4:$G$26</definedName>
    <definedName name="_xlnm.Print_Area" localSheetId="8">'3b-SalesForecastYrs1-3'!$A$4:$AF$73</definedName>
    <definedName name="_xlnm.Print_Area" localSheetId="2">'4-AdditionalInputs'!$B$4:$R$44</definedName>
    <definedName name="_xlnm.Print_Area" localSheetId="9">'5a-OpExYear1'!$B$4:$O$38</definedName>
    <definedName name="_xlnm.Print_Area" localSheetId="10">'5b-OpExYrs1-3'!$B$4:$G$36</definedName>
    <definedName name="_xlnm.Print_Area" localSheetId="11">'6a-CashFlowYear1'!$B$4:$O$34</definedName>
    <definedName name="_xlnm.Print_Area" localSheetId="12">'6b-CashFlowYrs1-3'!$A$3:$AB$33</definedName>
    <definedName name="_xlnm.Print_Area" localSheetId="13">'7a-IncomeStatementYear1'!$B$4:$O$68</definedName>
    <definedName name="_xlnm.Print_Area" localSheetId="14">'7b-IncomeStatementYrs1-3'!$B$4:$H$67</definedName>
    <definedName name="_xlnm.Print_Area" localSheetId="15">'8-BalanceSheet'!$C$4:$F$46</definedName>
    <definedName name="_xlnm.Print_Area" localSheetId="20">'Amortization&amp;Depreciation'!$B$4:$O$156</definedName>
    <definedName name="_xlnm.Print_Area" localSheetId="22">'Annual PL Template'!$A$1:$F$59</definedName>
    <definedName name="_xlnm.Print_Area" localSheetId="16">BreakevenAnalysis!$B$4:$C$20</definedName>
    <definedName name="_xlnm.Print_Area" localSheetId="18">DiagnosticTools!$B$4:$D$36</definedName>
    <definedName name="_xlnm.Print_Area" localSheetId="0">Directions!$A$1:$H$40</definedName>
    <definedName name="_xlnm.Print_Area" localSheetId="17">FinancialRatios!$B$4:$G$28</definedName>
    <definedName name="_xlnm.Print_Area" localSheetId="5">Instructions!$A$1:$J$41</definedName>
    <definedName name="_xlnm.Print_Area" localSheetId="23">'Monthly Budget'!$B$1:$AO$57</definedName>
    <definedName name="_xlnm.Print_Area" localSheetId="19">'Pay Calculator'!$B$2:$C$134</definedName>
    <definedName name="_xlnm.Print_Area" localSheetId="24">'Rules of Thumb'!$A$1:$D$26</definedName>
    <definedName name="_xlnm.Print_Area" localSheetId="7">SalesForecastYear1!$B$1:$P$123</definedName>
    <definedName name="_xlnm.Print_Area" localSheetId="21">'Tuition Calculator V2'!$A$1:$C$35</definedName>
    <definedName name="_xlnm.Print_Titles" localSheetId="8">'3b-SalesForecastYrs1-3'!$A:$A</definedName>
    <definedName name="_xlnm.Print_Titles" localSheetId="12">'6b-CashFlowYrs1-3'!$A:$A</definedName>
    <definedName name="_xlnm.Print_Titles" localSheetId="23">'Monthly Budget'!$3:$3</definedName>
    <definedName name="_xlnm.Print_Titles" localSheetId="7">SalesForecastYear1!$23:$23</definedName>
    <definedName name="Projected_Yr2_COGS" localSheetId="6">'[2]3b-SalesForecastYrs1-3'!#REF!</definedName>
    <definedName name="Projected_Yr2_COGS" localSheetId="23">'[1]3b-SalesForecastYrs1-3'!#REF!</definedName>
    <definedName name="Projected_Yr2_COGS">'3b-SalesForecastYrs1-3'!#REF!</definedName>
    <definedName name="RentDeposit" localSheetId="6">'1-StartingPoint (2)'!$C$23</definedName>
    <definedName name="RentDeposit">'1-StartingPoint'!$C$23</definedName>
    <definedName name="Sales_Annual_Total" localSheetId="6">'[2]3a-SalesForecastYear1'!$O$82</definedName>
    <definedName name="Sales_Annual_Total" localSheetId="23">'[1]6 month Budget'!$I$106</definedName>
    <definedName name="Sales_Annual_Total">SalesForecastYear1!$O$122</definedName>
    <definedName name="SalesForecast_yr1" localSheetId="6">'[2]3b-SalesForecastYrs1-3'!#REF!</definedName>
    <definedName name="SalesForecast_yr1" localSheetId="23">'[1]3b-SalesForecastYrs1-3'!#REF!</definedName>
    <definedName name="SalesForecast_yr1">'3b-SalesForecastYrs1-3'!#REF!</definedName>
    <definedName name="SalesForecast_yr2" localSheetId="6">'[2]3b-SalesForecastYrs1-3'!#REF!</definedName>
    <definedName name="SalesForecast_yr2" localSheetId="23">'[1]3b-SalesForecastYrs1-3'!#REF!</definedName>
    <definedName name="SalesForecast_yr2">'3b-SalesForecastYrs1-3'!#REF!</definedName>
    <definedName name="SalesForecast_yr3" localSheetId="6">'[2]3b-SalesForecastYrs1-3'!#REF!</definedName>
    <definedName name="SalesForecast_yr3" localSheetId="23">'[1]3b-SalesForecastYrs1-3'!#REF!</definedName>
    <definedName name="SalesForecast_yr3">'3b-SalesForecastYrs1-3'!#REF!</definedName>
    <definedName name="Sched_Pay" localSheetId="6">#REF!</definedName>
    <definedName name="Sched_Pay" localSheetId="18">#REF!</definedName>
    <definedName name="Sched_Pay" localSheetId="23">#REF!</definedName>
    <definedName name="Sched_Pay">#REF!</definedName>
    <definedName name="Scheduled_Extra_Payments" localSheetId="18">#REF!</definedName>
    <definedName name="Scheduled_Extra_Payments" localSheetId="23">#REF!</definedName>
    <definedName name="Scheduled_Extra_Payments">#REF!</definedName>
    <definedName name="Scheduled_Monthly_Payment" localSheetId="18">#REF!</definedName>
    <definedName name="Scheduled_Monthly_Payment" localSheetId="23">#REF!</definedName>
    <definedName name="Scheduled_Monthly_Payment">#REF!</definedName>
    <definedName name="Supplies" localSheetId="6">'1-StartingPoint (2)'!$C$25</definedName>
    <definedName name="Supplies">'1-StartingPoint'!$C$25</definedName>
    <definedName name="Total_Amount_Paid" localSheetId="6">#REF!</definedName>
    <definedName name="Total_Amount_Paid" localSheetId="18">#REF!</definedName>
    <definedName name="Total_Amount_Paid" localSheetId="23">#REF!</definedName>
    <definedName name="Total_Amount_Paid">#REF!</definedName>
    <definedName name="Total_Fixed_Assets" localSheetId="6">'1-StartingPoint (2)'!$C$8:$C$15</definedName>
    <definedName name="Total_Fixed_Assets">'1-StartingPoint'!$C$8:$C$15</definedName>
    <definedName name="Total_Interest_Paid" localSheetId="6">#REF!</definedName>
    <definedName name="Total_Interest_Paid" localSheetId="18">#REF!</definedName>
    <definedName name="Total_Interest_Paid" localSheetId="23">#REF!</definedName>
    <definedName name="Total_Interest_Paid">#REF!</definedName>
    <definedName name="Total_Pay" localSheetId="18">#REF!</definedName>
    <definedName name="Total_Pay" localSheetId="23">#REF!</definedName>
    <definedName name="Total_Pay">#REF!</definedName>
    <definedName name="Total_Payments_LongTerm" localSheetId="18">#REF!</definedName>
    <definedName name="Total_Payments_LongTerm" localSheetId="23">#REF!</definedName>
    <definedName name="Total_Payments_LongTerm">#REF!</definedName>
    <definedName name="TotalFixedAssets" localSheetId="6">'1-StartingPoint (2)'!$C$16</definedName>
    <definedName name="TotalFixedAssets">'1-StartingPoint'!$C$16</definedName>
    <definedName name="TotalFunding" localSheetId="6">'1-StartingPoint (2)'!$D$42</definedName>
    <definedName name="TotalFunding">'1-StartingPoint'!$D$42</definedName>
    <definedName name="TotalOperatingCapital" localSheetId="6">'1-StartingPoint (2)'!$C$30</definedName>
    <definedName name="TotalOperatingCapital" localSheetId="23">'[1]6 month Budget'!$C$30</definedName>
    <definedName name="TotalOperatingCapital">'1-StartingPoint'!$C$30</definedName>
    <definedName name="TotalRequiredFunds" localSheetId="6">'1-StartingPoint (2)'!$C$31</definedName>
    <definedName name="TotalRequiredFunds">'1-StartingPoint'!$C$31</definedName>
    <definedName name="Uniit8_Annual" localSheetId="23">#REF!</definedName>
    <definedName name="Uniit8_Annual">SalesForecastYear1!$O$62</definedName>
    <definedName name="Unit1" localSheetId="6">'[2]3a-SalesForecastYear1'!$C$9</definedName>
    <definedName name="Unit1" localSheetId="23">'[1]6 month Budget'!$E$8</definedName>
    <definedName name="Unit1">SalesForecastYear1!$E$8</definedName>
    <definedName name="Unit1_Annual" localSheetId="6">'[2]3a-SalesForecastYear1'!$O$22</definedName>
    <definedName name="Unit1_Annual" localSheetId="23">'[1]6 month Budget'!$I$25</definedName>
    <definedName name="Unit1_Annual">SalesForecastYear1!$O$25</definedName>
    <definedName name="Unit1_Annual_Sales" localSheetId="23">#REF!</definedName>
    <definedName name="Unit1_Annual_Sales">SalesForecastYear1!$O$26</definedName>
    <definedName name="Unit10" localSheetId="6">'[2]3a-SalesForecastYear1'!$C$18</definedName>
    <definedName name="Unit10" localSheetId="23">'[1]6 month Budget'!$E$21</definedName>
    <definedName name="Unit10">SalesForecastYear1!$E$21</definedName>
    <definedName name="Unit10_Annual" localSheetId="6">'[2]3a-SalesForecastYear1'!$O$76</definedName>
    <definedName name="Unit10_Annual" localSheetId="23">'[1]6 month Budget'!#REF!</definedName>
    <definedName name="Unit10_Annual">SalesForecastYear1!#REF!</definedName>
    <definedName name="Unit2" localSheetId="6">'[2]3a-SalesForecastYear1'!$C$10</definedName>
    <definedName name="Unit2" localSheetId="23">'[1]6 month Budget'!$E$9</definedName>
    <definedName name="Unit2">SalesForecastYear1!$E$9</definedName>
    <definedName name="Unit2_Annual" localSheetId="6">'[2]3a-SalesForecastYear1'!$O$28</definedName>
    <definedName name="Unit2_Annual" localSheetId="23">'[1]6 month Budget'!$I$34</definedName>
    <definedName name="Unit2_Annual">SalesForecastYear1!$O$34</definedName>
    <definedName name="Unit2_Annual_Sales" localSheetId="23">#REF!</definedName>
    <definedName name="Unit2_Annual_Sales">SalesForecastYear1!$O$35</definedName>
    <definedName name="Unit3" localSheetId="6">'[2]3a-SalesForecastYear1'!$C$11</definedName>
    <definedName name="Unit3" localSheetId="23">'[1]6 month Budget'!$E$10</definedName>
    <definedName name="Unit3">SalesForecastYear1!$E$10</definedName>
    <definedName name="Unit3_Annual" localSheetId="6">'[2]3a-SalesForecastYear1'!$O$34</definedName>
    <definedName name="Unit3_Annual" localSheetId="23">'[1]6 month Budget'!$I$41</definedName>
    <definedName name="Unit3_Annual">SalesForecastYear1!$O$41</definedName>
    <definedName name="Unit3_Annual_Sales" localSheetId="23">#REF!</definedName>
    <definedName name="Unit3_Annual_Sales">SalesForecastYear1!$O$42</definedName>
    <definedName name="Unit4" localSheetId="6">'[2]3a-SalesForecastYear1'!$C$12</definedName>
    <definedName name="Unit4" localSheetId="23">'[1]6 month Budget'!$E$11</definedName>
    <definedName name="Unit4">SalesForecastYear1!$E$11</definedName>
    <definedName name="Unit4_Annual" localSheetId="6">'[2]3a-SalesForecastYear1'!$O$40</definedName>
    <definedName name="Unit4_Annual" localSheetId="23">'[1]6 month Budget'!$I$48</definedName>
    <definedName name="Unit4_Annual">SalesForecastYear1!$O$48</definedName>
    <definedName name="Unit5" localSheetId="6">'[2]3a-SalesForecastYear1'!$C$13</definedName>
    <definedName name="Unit5" localSheetId="23">'[1]6 month Budget'!$E$12</definedName>
    <definedName name="Unit5">SalesForecastYear1!$E$12</definedName>
    <definedName name="Unit5_Annual" localSheetId="6">'[2]3a-SalesForecastYear1'!$O$46</definedName>
    <definedName name="Unit5_Annual" localSheetId="23">'[1]6 month Budget'!$I$55</definedName>
    <definedName name="Unit5_Annual">SalesForecastYear1!$O$55</definedName>
    <definedName name="Unit6" localSheetId="6">'[2]3a-SalesForecastYear1'!$C$14</definedName>
    <definedName name="Unit6" localSheetId="23">'[1]6 month Budget'!$E$13</definedName>
    <definedName name="Unit6">SalesForecastYear1!$E$13</definedName>
    <definedName name="Unit6_Annual" localSheetId="6">'[2]3a-SalesForecastYear1'!$O$52</definedName>
    <definedName name="Unit6_Annual" localSheetId="23">'[1]6 month Budget'!#REF!</definedName>
    <definedName name="Unit6_Annual">SalesForecastYear1!#REF!</definedName>
    <definedName name="Unit7" localSheetId="6">'[2]3a-SalesForecastYear1'!$C$15</definedName>
    <definedName name="Unit7" localSheetId="23">'[1]6 month Budget'!$E$14</definedName>
    <definedName name="Unit7">SalesForecastYear1!$E$14</definedName>
    <definedName name="Unit7_Annual" localSheetId="6">'[2]3a-SalesForecastYear1'!$O$58</definedName>
    <definedName name="Unit7_Annual" localSheetId="23">'[1]6 month Budget'!$I$69</definedName>
    <definedName name="Unit7_Annual">SalesForecastYear1!$O$69</definedName>
    <definedName name="Unit8" localSheetId="6">'[2]3a-SalesForecastYear1'!$C$16</definedName>
    <definedName name="Unit8" localSheetId="23">'[1]6 month Budget'!$E$18</definedName>
    <definedName name="Unit8">SalesForecastYear1!$E$18</definedName>
    <definedName name="Unit8_Annual" localSheetId="6">'[2]3a-SalesForecastYear1'!$O$64</definedName>
    <definedName name="Unit8_Annual" localSheetId="23">'[1]6 month Budget'!$I$62</definedName>
    <definedName name="Unit8_Annual">SalesForecastYear1!$O$62</definedName>
    <definedName name="Unit9" localSheetId="6">'[2]3a-SalesForecastYear1'!$C$17</definedName>
    <definedName name="Unit9" localSheetId="23">'[1]6 month Budget'!$E$19</definedName>
    <definedName name="Unit9">SalesForecastYear1!$E$19</definedName>
    <definedName name="Unit9_Annual" localSheetId="6">'[2]3a-SalesForecastYear1'!$O$70</definedName>
    <definedName name="Unit9_Annual" localSheetId="23">'[1]6 month Budget'!$I$76</definedName>
    <definedName name="Unit9_Annual">SalesForecastYear1!$O$76</definedName>
    <definedName name="Units_Annual_Total" localSheetId="6">'[2]3a-SalesForecastYear1'!$O$81</definedName>
    <definedName name="Units_Annual_Total" localSheetId="23">'[1]6 month Budget'!#REF!</definedName>
    <definedName name="Units_Annual_Total">SalesForecastYear1!#REF!</definedName>
    <definedName name="UtilityDeposit" localSheetId="6">'1-StartingPoint (2)'!$C$24</definedName>
    <definedName name="UtilityDeposit">'1-StartingPoint'!$C$24</definedName>
    <definedName name="Values_Entered" localSheetId="6">IF('1-StartingPoint (2)'!Loan_Amount*Interest_Rate*Loan_Years*Loan_Start&gt;0,1,0)</definedName>
    <definedName name="Values_Entered" localSheetId="18">IF(DiagnosticTools!Loan_Amount*Interest_Rate*Loan_Years*Loan_Start&gt;0,1,0)</definedName>
    <definedName name="Values_Entered" localSheetId="23">IF('Monthly Budget'!Loan_Amount*Interest_Rate*Loan_Years*Loan_Start&gt;0,1,0)</definedName>
    <definedName name="Values_Entered">IF(Loan_Amount*Interest_Rate*Loan_Years*Loan_Start&gt;0,1,0)</definedName>
    <definedName name="VehicleLoan" localSheetId="6">'1-StartingPoint (2)'!$D$40</definedName>
    <definedName name="VehicleLoan" localSheetId="23">'[1]6 month Budget'!$D$40</definedName>
    <definedName name="VehicleLoan">'1-StartingPoint'!$D$40</definedName>
    <definedName name="Vehicles" localSheetId="6">'1-StartingPoint (2)'!$C$14</definedName>
    <definedName name="Vehicles" localSheetId="23">'[1]6 month Budget'!$C$14</definedName>
    <definedName name="Vehicles">'1-StartingPoint'!$C$14</definedName>
    <definedName name="Working_Capital" localSheetId="6">'1-StartingPoint (2)'!$C$29</definedName>
    <definedName name="Working_Capital" localSheetId="23">'[1]6 month Budget'!$C$29</definedName>
    <definedName name="Working_Capital">'1-StartingPoint'!$C$29</definedName>
    <definedName name="WorkingCapital" localSheetId="6">'1-StartingPoint (2)'!$C$28</definedName>
    <definedName name="WorkingCapital">'1-StartingPoint'!$C$28</definedName>
    <definedName name="Y1EndingCashBal" localSheetId="6">'[2]6a-CashFlowYear1'!$N$33</definedName>
    <definedName name="Y1EndingCashBal" localSheetId="23">[1]Directions!$N$33</definedName>
    <definedName name="Y1EndingCashBal">'6a-CashFlowYear1'!$N$33</definedName>
    <definedName name="YearlyPayments_ShortTerm" localSheetId="6">#REF!</definedName>
    <definedName name="YearlyPayments_ShortTerm" localSheetId="18">#REF!</definedName>
    <definedName name="YearlyPayments_ShortTerm" localSheetId="23">#REF!</definedName>
    <definedName name="YearlyPayments_ShortTer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E26" i="50" l="1"/>
  <c r="L8" i="29"/>
  <c r="L11" i="29" s="1"/>
  <c r="M7" i="29"/>
  <c r="M6" i="29"/>
  <c r="B14" i="41"/>
  <c r="B13" i="41"/>
  <c r="B12" i="41"/>
  <c r="B11" i="41"/>
  <c r="B10" i="41"/>
  <c r="B9" i="41"/>
  <c r="B8" i="41"/>
  <c r="B7" i="41"/>
  <c r="B6" i="41"/>
  <c r="B5" i="41"/>
  <c r="B4" i="41"/>
  <c r="L22" i="50"/>
  <c r="M22" i="50"/>
  <c r="AM26" i="50"/>
  <c r="AM9" i="50"/>
  <c r="AM10" i="50"/>
  <c r="AM11" i="50"/>
  <c r="AM12" i="50"/>
  <c r="AM13" i="50"/>
  <c r="AM14" i="50"/>
  <c r="AM15" i="50"/>
  <c r="AM16" i="50"/>
  <c r="AM17" i="50"/>
  <c r="AM18" i="50"/>
  <c r="AM19" i="50"/>
  <c r="AM20" i="50"/>
  <c r="AM21" i="50"/>
  <c r="AN8" i="50"/>
  <c r="E6" i="50"/>
  <c r="K6" i="50"/>
  <c r="N6" i="50"/>
  <c r="Q6" i="50"/>
  <c r="T6" i="50"/>
  <c r="W6" i="50"/>
  <c r="Z6" i="50"/>
  <c r="AC6" i="50"/>
  <c r="AF6" i="50"/>
  <c r="AI6" i="50"/>
  <c r="AL6" i="50"/>
  <c r="AN6" i="50"/>
  <c r="E7" i="50"/>
  <c r="H7" i="50"/>
  <c r="N7" i="50"/>
  <c r="Q7" i="50"/>
  <c r="T7" i="50"/>
  <c r="W7" i="50"/>
  <c r="Z7" i="50"/>
  <c r="AC7" i="50"/>
  <c r="AF7" i="50"/>
  <c r="AI7" i="50"/>
  <c r="AL7" i="50"/>
  <c r="AN7" i="50"/>
  <c r="E8" i="50"/>
  <c r="K8" i="50"/>
  <c r="N8" i="50"/>
  <c r="Q8" i="50"/>
  <c r="T8" i="50"/>
  <c r="W8" i="50"/>
  <c r="Z8" i="50"/>
  <c r="AC8" i="50"/>
  <c r="AF8" i="50"/>
  <c r="AI8" i="50"/>
  <c r="AL8" i="50"/>
  <c r="E9" i="50"/>
  <c r="H9" i="50"/>
  <c r="K9" i="50"/>
  <c r="N9" i="50"/>
  <c r="Q9" i="50"/>
  <c r="T9" i="50"/>
  <c r="Z9" i="50"/>
  <c r="AC9" i="50"/>
  <c r="AF9" i="50"/>
  <c r="AI9" i="50"/>
  <c r="AL9" i="50"/>
  <c r="AN9" i="50"/>
  <c r="E10" i="50"/>
  <c r="H10" i="50"/>
  <c r="Q10" i="50"/>
  <c r="T10" i="50"/>
  <c r="W10" i="50"/>
  <c r="Z10" i="50"/>
  <c r="AC10" i="50"/>
  <c r="AL10" i="50"/>
  <c r="AN10" i="50"/>
  <c r="E11" i="50"/>
  <c r="H11" i="50"/>
  <c r="N11" i="50"/>
  <c r="Q11" i="50"/>
  <c r="T11" i="50"/>
  <c r="W11" i="50"/>
  <c r="Z11" i="50"/>
  <c r="AC11" i="50"/>
  <c r="AF11" i="50"/>
  <c r="AI11" i="50"/>
  <c r="AL11" i="50"/>
  <c r="AN11" i="50"/>
  <c r="H12" i="50"/>
  <c r="K12" i="50"/>
  <c r="N12" i="50"/>
  <c r="Q12" i="50"/>
  <c r="T12" i="50"/>
  <c r="W12" i="50"/>
  <c r="Z12" i="50"/>
  <c r="AC12" i="50"/>
  <c r="AF12" i="50"/>
  <c r="AI12" i="50"/>
  <c r="AL12" i="50"/>
  <c r="AN12" i="50"/>
  <c r="E13" i="50"/>
  <c r="K13" i="50"/>
  <c r="N13" i="50"/>
  <c r="Q13" i="50"/>
  <c r="T13" i="50"/>
  <c r="W13" i="50"/>
  <c r="Z13" i="50"/>
  <c r="AC13" i="50"/>
  <c r="AF13" i="50"/>
  <c r="AI13" i="50"/>
  <c r="AL13" i="50"/>
  <c r="AN13" i="50"/>
  <c r="E14" i="50"/>
  <c r="H14" i="50"/>
  <c r="K14" i="50"/>
  <c r="N14" i="50"/>
  <c r="Q14" i="50"/>
  <c r="T14" i="50"/>
  <c r="W14" i="50"/>
  <c r="Z14" i="50"/>
  <c r="AC14" i="50"/>
  <c r="AF14" i="50"/>
  <c r="AI14" i="50"/>
  <c r="AL14" i="50"/>
  <c r="AN14" i="50"/>
  <c r="E15" i="50"/>
  <c r="H15" i="50"/>
  <c r="N15" i="50"/>
  <c r="O22" i="50"/>
  <c r="T15" i="50"/>
  <c r="W15" i="50"/>
  <c r="Z15" i="50"/>
  <c r="AC15" i="50"/>
  <c r="AF15" i="50"/>
  <c r="AI15" i="50"/>
  <c r="AL15" i="50"/>
  <c r="AN15" i="50"/>
  <c r="E16" i="50"/>
  <c r="H16" i="50"/>
  <c r="K16" i="50"/>
  <c r="N16" i="50"/>
  <c r="Q16" i="50"/>
  <c r="T16" i="50"/>
  <c r="W16" i="50"/>
  <c r="Z16" i="50"/>
  <c r="AC16" i="50"/>
  <c r="AF16" i="50"/>
  <c r="AI16" i="50"/>
  <c r="AL16" i="50"/>
  <c r="AN16" i="50"/>
  <c r="E17" i="50"/>
  <c r="H17" i="50"/>
  <c r="K17" i="50"/>
  <c r="N17" i="50"/>
  <c r="Q17" i="50"/>
  <c r="T17" i="50"/>
  <c r="W17" i="50"/>
  <c r="Z17" i="50"/>
  <c r="AC17" i="50"/>
  <c r="AF17" i="50"/>
  <c r="AI17" i="50"/>
  <c r="AL17" i="50"/>
  <c r="AN17" i="50"/>
  <c r="E18" i="50"/>
  <c r="H18" i="50"/>
  <c r="K18" i="50"/>
  <c r="N18" i="50"/>
  <c r="Q18" i="50"/>
  <c r="T18" i="50"/>
  <c r="W18" i="50"/>
  <c r="Z18" i="50"/>
  <c r="AC18" i="50"/>
  <c r="AF18" i="50"/>
  <c r="AI18" i="50"/>
  <c r="AL18" i="50"/>
  <c r="AN18" i="50"/>
  <c r="E19" i="50"/>
  <c r="H19" i="50"/>
  <c r="K19" i="50"/>
  <c r="N19" i="50"/>
  <c r="Q19" i="50"/>
  <c r="T19" i="50"/>
  <c r="W19" i="50"/>
  <c r="Z19" i="50"/>
  <c r="AC19" i="50"/>
  <c r="AF19" i="50"/>
  <c r="AI19" i="50"/>
  <c r="AL19" i="50"/>
  <c r="AN19" i="50"/>
  <c r="E20" i="50"/>
  <c r="H20" i="50"/>
  <c r="K20" i="50"/>
  <c r="N20" i="50"/>
  <c r="Q20" i="50"/>
  <c r="T20" i="50"/>
  <c r="W20" i="50"/>
  <c r="Z20" i="50"/>
  <c r="AC20" i="50"/>
  <c r="AF20" i="50"/>
  <c r="AI20" i="50"/>
  <c r="AL20" i="50"/>
  <c r="AN20" i="50"/>
  <c r="E21" i="50"/>
  <c r="H21" i="50"/>
  <c r="K21" i="50"/>
  <c r="N21" i="50"/>
  <c r="Q21" i="50"/>
  <c r="T21" i="50"/>
  <c r="W21" i="50"/>
  <c r="Z21" i="50"/>
  <c r="AC21" i="50"/>
  <c r="AF21" i="50"/>
  <c r="AI21" i="50"/>
  <c r="AL21" i="50"/>
  <c r="AN21" i="50"/>
  <c r="D22" i="50"/>
  <c r="G22" i="50"/>
  <c r="J22" i="50"/>
  <c r="P22" i="50"/>
  <c r="S22" i="50"/>
  <c r="V22" i="50"/>
  <c r="Y22" i="50"/>
  <c r="AB22" i="50"/>
  <c r="AE22" i="50"/>
  <c r="AH22" i="50"/>
  <c r="AK22" i="50"/>
  <c r="AN24" i="50"/>
  <c r="E25" i="50"/>
  <c r="H25" i="50"/>
  <c r="K25" i="50"/>
  <c r="N25" i="50"/>
  <c r="Q25" i="50"/>
  <c r="T25" i="50"/>
  <c r="W25" i="50"/>
  <c r="Z25" i="50"/>
  <c r="AC25" i="50"/>
  <c r="AF25" i="50"/>
  <c r="AI25" i="50"/>
  <c r="AL25" i="50"/>
  <c r="AM25" i="50"/>
  <c r="AN25" i="50"/>
  <c r="H26" i="50"/>
  <c r="K26" i="50"/>
  <c r="N26" i="50"/>
  <c r="Q26" i="50"/>
  <c r="T26" i="50"/>
  <c r="W26" i="50"/>
  <c r="Z26" i="50"/>
  <c r="AC26" i="50"/>
  <c r="AF26" i="50"/>
  <c r="AI26" i="50"/>
  <c r="AL26" i="50"/>
  <c r="AN26" i="50"/>
  <c r="E27" i="50"/>
  <c r="H27" i="50"/>
  <c r="K27" i="50"/>
  <c r="N27" i="50"/>
  <c r="Q27" i="50"/>
  <c r="T27" i="50"/>
  <c r="W27" i="50"/>
  <c r="Z27" i="50"/>
  <c r="AC27" i="50"/>
  <c r="AF27" i="50"/>
  <c r="AI27" i="50"/>
  <c r="AL27" i="50"/>
  <c r="AM27" i="50"/>
  <c r="AN27" i="50"/>
  <c r="E28" i="50"/>
  <c r="H28" i="50"/>
  <c r="K28" i="50"/>
  <c r="N28" i="50"/>
  <c r="Q28" i="50"/>
  <c r="T28" i="50"/>
  <c r="W28" i="50"/>
  <c r="Z28" i="50"/>
  <c r="AC28" i="50"/>
  <c r="AF28" i="50"/>
  <c r="AI28" i="50"/>
  <c r="AL28" i="50"/>
  <c r="AM28" i="50"/>
  <c r="AN28" i="50"/>
  <c r="E29" i="50"/>
  <c r="H29" i="50"/>
  <c r="K29" i="50"/>
  <c r="N29" i="50"/>
  <c r="Q29" i="50"/>
  <c r="T29" i="50"/>
  <c r="W29" i="50"/>
  <c r="Z29" i="50"/>
  <c r="AC29" i="50"/>
  <c r="AF29" i="50"/>
  <c r="AI29" i="50"/>
  <c r="AL29" i="50"/>
  <c r="AM29" i="50"/>
  <c r="AN29" i="50"/>
  <c r="E30" i="50"/>
  <c r="H30" i="50"/>
  <c r="K30" i="50"/>
  <c r="N30" i="50"/>
  <c r="Q30" i="50"/>
  <c r="T30" i="50"/>
  <c r="W30" i="50"/>
  <c r="Z30" i="50"/>
  <c r="AC30" i="50"/>
  <c r="AF30" i="50"/>
  <c r="AI30" i="50"/>
  <c r="AL30" i="50"/>
  <c r="AM30" i="50"/>
  <c r="AN30" i="50"/>
  <c r="E31" i="50"/>
  <c r="H31" i="50"/>
  <c r="K31" i="50"/>
  <c r="N31" i="50"/>
  <c r="Q31" i="50"/>
  <c r="T31" i="50"/>
  <c r="W31" i="50"/>
  <c r="Z31" i="50"/>
  <c r="AC31" i="50"/>
  <c r="AF31" i="50"/>
  <c r="AI31" i="50"/>
  <c r="AL31" i="50"/>
  <c r="AM31" i="50"/>
  <c r="AN31" i="50"/>
  <c r="E33" i="50"/>
  <c r="H33" i="50"/>
  <c r="K33" i="50"/>
  <c r="N33" i="50"/>
  <c r="Q33" i="50"/>
  <c r="T33" i="50"/>
  <c r="W33" i="50"/>
  <c r="Z33" i="50"/>
  <c r="AC33" i="50"/>
  <c r="AF33" i="50"/>
  <c r="AI33" i="50"/>
  <c r="AL33" i="50"/>
  <c r="AM33" i="50"/>
  <c r="AN33" i="50"/>
  <c r="E34" i="50"/>
  <c r="H34" i="50"/>
  <c r="K34" i="50"/>
  <c r="N34" i="50"/>
  <c r="Q34" i="50"/>
  <c r="T34" i="50"/>
  <c r="W34" i="50"/>
  <c r="Z34" i="50"/>
  <c r="AC34" i="50"/>
  <c r="AF34" i="50"/>
  <c r="AI34" i="50"/>
  <c r="AL34" i="50"/>
  <c r="AM34" i="50"/>
  <c r="AN34" i="50"/>
  <c r="E35" i="50"/>
  <c r="H35" i="50"/>
  <c r="K35" i="50"/>
  <c r="N35" i="50"/>
  <c r="Q35" i="50"/>
  <c r="T35" i="50"/>
  <c r="W35" i="50"/>
  <c r="Z35" i="50"/>
  <c r="AC35" i="50"/>
  <c r="AF35" i="50"/>
  <c r="AI35" i="50"/>
  <c r="AL35" i="50"/>
  <c r="AM35" i="50"/>
  <c r="AN35" i="50"/>
  <c r="E36" i="50"/>
  <c r="H36" i="50"/>
  <c r="K36" i="50"/>
  <c r="N36" i="50"/>
  <c r="Q36" i="50"/>
  <c r="T36" i="50"/>
  <c r="W36" i="50"/>
  <c r="Z36" i="50"/>
  <c r="AC36" i="50"/>
  <c r="AF36" i="50"/>
  <c r="AI36" i="50"/>
  <c r="AL36" i="50"/>
  <c r="AM36" i="50"/>
  <c r="AN36" i="50"/>
  <c r="E37" i="50"/>
  <c r="H37" i="50"/>
  <c r="K37" i="50"/>
  <c r="N37" i="50"/>
  <c r="Q37" i="50"/>
  <c r="T37" i="50"/>
  <c r="W37" i="50"/>
  <c r="Z37" i="50"/>
  <c r="AC37" i="50"/>
  <c r="AF37" i="50"/>
  <c r="AI37" i="50"/>
  <c r="AL37" i="50"/>
  <c r="AM37" i="50"/>
  <c r="AN37" i="50"/>
  <c r="E38" i="50"/>
  <c r="H38" i="50"/>
  <c r="K38" i="50"/>
  <c r="N38" i="50"/>
  <c r="Q38" i="50"/>
  <c r="T38" i="50"/>
  <c r="W38" i="50"/>
  <c r="Z38" i="50"/>
  <c r="AC38" i="50"/>
  <c r="AF38" i="50"/>
  <c r="AI38" i="50"/>
  <c r="AL38" i="50"/>
  <c r="AM38" i="50"/>
  <c r="AN38" i="50"/>
  <c r="E39" i="50"/>
  <c r="H39" i="50"/>
  <c r="K39" i="50"/>
  <c r="N39" i="50"/>
  <c r="Q39" i="50"/>
  <c r="T39" i="50"/>
  <c r="W39" i="50"/>
  <c r="Z39" i="50"/>
  <c r="AC39" i="50"/>
  <c r="AF39" i="50"/>
  <c r="AI39" i="50"/>
  <c r="AL39" i="50"/>
  <c r="AM39" i="50"/>
  <c r="AN39" i="50"/>
  <c r="E40" i="50"/>
  <c r="H40" i="50"/>
  <c r="K40" i="50"/>
  <c r="N40" i="50"/>
  <c r="Q40" i="50"/>
  <c r="T40" i="50"/>
  <c r="W40" i="50"/>
  <c r="Z40" i="50"/>
  <c r="AC40" i="50"/>
  <c r="AF40" i="50"/>
  <c r="AI40" i="50"/>
  <c r="AL40" i="50"/>
  <c r="AM40" i="50"/>
  <c r="AN40" i="50"/>
  <c r="E41" i="50"/>
  <c r="H41" i="50"/>
  <c r="K41" i="50"/>
  <c r="N41" i="50"/>
  <c r="Q41" i="50"/>
  <c r="T41" i="50"/>
  <c r="W41" i="50"/>
  <c r="Z41" i="50"/>
  <c r="AC41" i="50"/>
  <c r="AF41" i="50"/>
  <c r="AI41" i="50"/>
  <c r="AL41" i="50"/>
  <c r="AM41" i="50"/>
  <c r="AN41" i="50"/>
  <c r="E42" i="50"/>
  <c r="H42" i="50"/>
  <c r="K42" i="50"/>
  <c r="N42" i="50"/>
  <c r="Q42" i="50"/>
  <c r="T42" i="50"/>
  <c r="W42" i="50"/>
  <c r="Z42" i="50"/>
  <c r="AC42" i="50"/>
  <c r="AF42" i="50"/>
  <c r="AI42" i="50"/>
  <c r="AL42" i="50"/>
  <c r="AM42" i="50"/>
  <c r="AN42" i="50"/>
  <c r="E43" i="50"/>
  <c r="H43" i="50"/>
  <c r="K43" i="50"/>
  <c r="N43" i="50"/>
  <c r="Q43" i="50"/>
  <c r="T43" i="50"/>
  <c r="W43" i="50"/>
  <c r="Z43" i="50"/>
  <c r="AC43" i="50"/>
  <c r="AF43" i="50"/>
  <c r="AI43" i="50"/>
  <c r="AL43" i="50"/>
  <c r="AM43" i="50"/>
  <c r="AN43" i="50"/>
  <c r="E44" i="50"/>
  <c r="H44" i="50"/>
  <c r="K44" i="50"/>
  <c r="N44" i="50"/>
  <c r="Q44" i="50"/>
  <c r="T44" i="50"/>
  <c r="W44" i="50"/>
  <c r="Z44" i="50"/>
  <c r="AC44" i="50"/>
  <c r="AF44" i="50"/>
  <c r="AI44" i="50"/>
  <c r="AL44" i="50"/>
  <c r="AM44" i="50"/>
  <c r="AN44" i="50"/>
  <c r="E45" i="50"/>
  <c r="H45" i="50"/>
  <c r="K45" i="50"/>
  <c r="N45" i="50"/>
  <c r="Q45" i="50"/>
  <c r="T45" i="50"/>
  <c r="W45" i="50"/>
  <c r="Z45" i="50"/>
  <c r="AC45" i="50"/>
  <c r="AF45" i="50"/>
  <c r="AI45" i="50"/>
  <c r="AL45" i="50"/>
  <c r="AM45" i="50"/>
  <c r="AN45" i="50"/>
  <c r="E46" i="50"/>
  <c r="H46" i="50"/>
  <c r="K46" i="50"/>
  <c r="N46" i="50"/>
  <c r="Q46" i="50"/>
  <c r="T46" i="50"/>
  <c r="W46" i="50"/>
  <c r="Z46" i="50"/>
  <c r="AC46" i="50"/>
  <c r="AF46" i="50"/>
  <c r="AI46" i="50"/>
  <c r="AL46" i="50"/>
  <c r="AM46" i="50"/>
  <c r="AN46" i="50"/>
  <c r="E47" i="50"/>
  <c r="H47" i="50"/>
  <c r="K47" i="50"/>
  <c r="N47" i="50"/>
  <c r="Q47" i="50"/>
  <c r="T47" i="50"/>
  <c r="W47" i="50"/>
  <c r="Z47" i="50"/>
  <c r="AC47" i="50"/>
  <c r="AF47" i="50"/>
  <c r="AI47" i="50"/>
  <c r="AL47" i="50"/>
  <c r="AM47" i="50"/>
  <c r="AN47" i="50"/>
  <c r="E48" i="50"/>
  <c r="H48" i="50"/>
  <c r="K48" i="50"/>
  <c r="N48" i="50"/>
  <c r="Q48" i="50"/>
  <c r="T48" i="50"/>
  <c r="W48" i="50"/>
  <c r="Z48" i="50"/>
  <c r="AC48" i="50"/>
  <c r="AF48" i="50"/>
  <c r="AI48" i="50"/>
  <c r="AL48" i="50"/>
  <c r="AM48" i="50"/>
  <c r="AN48" i="50"/>
  <c r="E50" i="50"/>
  <c r="H50" i="50"/>
  <c r="K50" i="50"/>
  <c r="N50" i="50"/>
  <c r="Q50" i="50"/>
  <c r="T50" i="50"/>
  <c r="W50" i="50"/>
  <c r="Z50" i="50"/>
  <c r="AC50" i="50"/>
  <c r="AF50" i="50"/>
  <c r="AI50" i="50"/>
  <c r="AL50" i="50"/>
  <c r="AM50" i="50"/>
  <c r="AN50" i="50"/>
  <c r="E51" i="50"/>
  <c r="H51" i="50"/>
  <c r="K51" i="50"/>
  <c r="N51" i="50"/>
  <c r="Q51" i="50"/>
  <c r="T51" i="50"/>
  <c r="W51" i="50"/>
  <c r="Z51" i="50"/>
  <c r="AC51" i="50"/>
  <c r="AF51" i="50"/>
  <c r="AI51" i="50"/>
  <c r="AL51" i="50"/>
  <c r="AM51" i="50"/>
  <c r="AN51" i="50"/>
  <c r="E52" i="50"/>
  <c r="H52" i="50"/>
  <c r="K52" i="50"/>
  <c r="N52" i="50"/>
  <c r="Q52" i="50"/>
  <c r="T52" i="50"/>
  <c r="W52" i="50"/>
  <c r="Z52" i="50"/>
  <c r="AC52" i="50"/>
  <c r="AF52" i="50"/>
  <c r="AI52" i="50"/>
  <c r="AL52" i="50"/>
  <c r="AM52" i="50"/>
  <c r="AN52" i="50"/>
  <c r="E53" i="50"/>
  <c r="H53" i="50"/>
  <c r="K53" i="50"/>
  <c r="N53" i="50"/>
  <c r="Q53" i="50"/>
  <c r="T53" i="50"/>
  <c r="W53" i="50"/>
  <c r="Z53" i="50"/>
  <c r="AC53" i="50"/>
  <c r="AF53" i="50"/>
  <c r="AI53" i="50"/>
  <c r="AL53" i="50"/>
  <c r="AM53" i="50"/>
  <c r="AN53" i="50"/>
  <c r="E54" i="50"/>
  <c r="H54" i="50"/>
  <c r="K54" i="50"/>
  <c r="N54" i="50"/>
  <c r="Q54" i="50"/>
  <c r="T54" i="50"/>
  <c r="W54" i="50"/>
  <c r="Z54" i="50"/>
  <c r="AC54" i="50"/>
  <c r="AF54" i="50"/>
  <c r="AI54" i="50"/>
  <c r="AL54" i="50"/>
  <c r="AM54" i="50"/>
  <c r="AN54" i="50"/>
  <c r="C55" i="50"/>
  <c r="D55" i="50"/>
  <c r="F55" i="50"/>
  <c r="G55" i="50"/>
  <c r="I55" i="50"/>
  <c r="J55" i="50"/>
  <c r="L55" i="50"/>
  <c r="M55" i="50"/>
  <c r="O55" i="50"/>
  <c r="P55" i="50"/>
  <c r="R55" i="50"/>
  <c r="S55" i="50"/>
  <c r="V55" i="50"/>
  <c r="X55" i="50"/>
  <c r="Y55" i="50"/>
  <c r="AA55" i="50"/>
  <c r="AB55" i="50"/>
  <c r="AE55" i="50"/>
  <c r="AG55" i="50"/>
  <c r="AH55" i="50"/>
  <c r="AJ55" i="50"/>
  <c r="AK55" i="50"/>
  <c r="M8" i="29" l="1"/>
  <c r="N11" i="29" s="1"/>
  <c r="AM55" i="50"/>
  <c r="AO45" i="50"/>
  <c r="AO39" i="50"/>
  <c r="AO48" i="50"/>
  <c r="AO36" i="50"/>
  <c r="AO29" i="50"/>
  <c r="AO21" i="50"/>
  <c r="AO20" i="50"/>
  <c r="AO19" i="50"/>
  <c r="AO18" i="50"/>
  <c r="AO17" i="50"/>
  <c r="AO43" i="50"/>
  <c r="AO37" i="50"/>
  <c r="AO30" i="50"/>
  <c r="AO47" i="50"/>
  <c r="AO41" i="50"/>
  <c r="AO35" i="50"/>
  <c r="AO28" i="50"/>
  <c r="AO46" i="50"/>
  <c r="AO40" i="50"/>
  <c r="AO34" i="50"/>
  <c r="AO27" i="50"/>
  <c r="AO33" i="50"/>
  <c r="AO44" i="50"/>
  <c r="AO38" i="50"/>
  <c r="AO31" i="50"/>
  <c r="AO25" i="50"/>
  <c r="AO42" i="50"/>
  <c r="L57" i="50"/>
  <c r="P57" i="50"/>
  <c r="AL55" i="50"/>
  <c r="AD55" i="50"/>
  <c r="AF55" i="50" s="1"/>
  <c r="E55" i="50"/>
  <c r="U22" i="50"/>
  <c r="AG22" i="50"/>
  <c r="AG57" i="50" s="1"/>
  <c r="T55" i="50"/>
  <c r="F22" i="50"/>
  <c r="F57" i="50" s="1"/>
  <c r="AD22" i="50"/>
  <c r="C22" i="50"/>
  <c r="Q15" i="50"/>
  <c r="Q22" i="50" s="1"/>
  <c r="E12" i="50"/>
  <c r="E22" i="50" s="1"/>
  <c r="AI10" i="50"/>
  <c r="AI22" i="50" s="1"/>
  <c r="N10" i="50"/>
  <c r="N22" i="50" s="1"/>
  <c r="AM7" i="50"/>
  <c r="AO7" i="50" s="1"/>
  <c r="U55" i="50"/>
  <c r="W55" i="50" s="1"/>
  <c r="H13" i="50"/>
  <c r="AF10" i="50"/>
  <c r="AF22" i="50" s="1"/>
  <c r="AO10" i="50"/>
  <c r="W9" i="50"/>
  <c r="W22" i="50" s="1"/>
  <c r="AO15" i="50"/>
  <c r="AI55" i="50"/>
  <c r="Q55" i="50"/>
  <c r="AO11" i="50"/>
  <c r="O57" i="50"/>
  <c r="N55" i="50"/>
  <c r="AO26" i="50"/>
  <c r="K55" i="50"/>
  <c r="X22" i="50"/>
  <c r="X57" i="50" s="1"/>
  <c r="AM6" i="50"/>
  <c r="AO6" i="50" s="1"/>
  <c r="AQ6" i="50" s="1"/>
  <c r="Z55" i="50"/>
  <c r="H55" i="50"/>
  <c r="AC55" i="50"/>
  <c r="AO54" i="50"/>
  <c r="AO52" i="50"/>
  <c r="AO51" i="50"/>
  <c r="AO50" i="50"/>
  <c r="AO53" i="50"/>
  <c r="G57" i="50"/>
  <c r="D57" i="50"/>
  <c r="AK57" i="50"/>
  <c r="AH57" i="50"/>
  <c r="AE57" i="50"/>
  <c r="AB57" i="50"/>
  <c r="Y57" i="50"/>
  <c r="V57" i="50"/>
  <c r="S57" i="50"/>
  <c r="M57" i="50"/>
  <c r="J57" i="50"/>
  <c r="AN55" i="50"/>
  <c r="AC22" i="50"/>
  <c r="T22" i="50"/>
  <c r="Z22" i="50"/>
  <c r="AL22" i="50"/>
  <c r="AL57" i="50" s="1"/>
  <c r="AJ22" i="50"/>
  <c r="AJ57" i="50" s="1"/>
  <c r="AO13" i="50"/>
  <c r="AO9" i="50"/>
  <c r="K15" i="50"/>
  <c r="K11" i="50"/>
  <c r="K7" i="50"/>
  <c r="I22" i="50"/>
  <c r="I57" i="50" s="1"/>
  <c r="AO16" i="50"/>
  <c r="AO12" i="50"/>
  <c r="AM8" i="50"/>
  <c r="K10" i="50"/>
  <c r="R22" i="50"/>
  <c r="R57" i="50" s="1"/>
  <c r="H6" i="50"/>
  <c r="AN22" i="50"/>
  <c r="AA22" i="50"/>
  <c r="AA57" i="50" s="1"/>
  <c r="AO14" i="50"/>
  <c r="AD57" i="50" l="1"/>
  <c r="H22" i="50"/>
  <c r="H57" i="50" s="1"/>
  <c r="C57" i="50"/>
  <c r="E57" i="50" s="1"/>
  <c r="AM22" i="50"/>
  <c r="U57" i="50"/>
  <c r="T57" i="50"/>
  <c r="Q57" i="50"/>
  <c r="AF57" i="50"/>
  <c r="AI57" i="50"/>
  <c r="N57" i="50"/>
  <c r="W57" i="50"/>
  <c r="Z57" i="50"/>
  <c r="AC57" i="50"/>
  <c r="AO55" i="50"/>
  <c r="AN57" i="50"/>
  <c r="AO8" i="50"/>
  <c r="AO22" i="50" s="1"/>
  <c r="K22" i="50"/>
  <c r="K57" i="50" s="1"/>
  <c r="AM57" i="50" l="1"/>
  <c r="AO57" i="50"/>
  <c r="B5" i="49" l="1"/>
  <c r="C5" i="49"/>
  <c r="C16" i="49"/>
  <c r="C30" i="49"/>
  <c r="G37" i="49"/>
  <c r="G38" i="49"/>
  <c r="G39" i="49"/>
  <c r="G40" i="49"/>
  <c r="G41" i="49"/>
  <c r="D42" i="49"/>
  <c r="C52" i="49"/>
  <c r="G42" i="49" l="1"/>
  <c r="C31" i="49"/>
  <c r="C38" i="49" s="1"/>
  <c r="C42" i="49" l="1"/>
  <c r="C39" i="49"/>
  <c r="C40" i="49"/>
  <c r="C35" i="49"/>
  <c r="C37" i="49"/>
  <c r="C34" i="49"/>
  <c r="C41" i="49"/>
  <c r="D43" i="49"/>
  <c r="E43" i="49" s="1"/>
  <c r="B26" i="47"/>
  <c r="G4" i="47"/>
  <c r="D15" i="47"/>
  <c r="C11" i="47"/>
  <c r="D11" i="47" s="1"/>
  <c r="C7" i="47"/>
  <c r="F5" i="47" s="1"/>
  <c r="G5" i="47" s="1"/>
  <c r="G6" i="47" s="1"/>
  <c r="C13" i="47" l="1"/>
  <c r="D13" i="47" s="1"/>
  <c r="D7" i="47"/>
  <c r="F36" i="17"/>
  <c r="D16" i="47" l="1"/>
  <c r="E14" i="17"/>
  <c r="B28" i="44" l="1"/>
  <c r="C13" i="44" l="1"/>
  <c r="C12" i="44"/>
  <c r="C11" i="44"/>
  <c r="C10" i="44"/>
  <c r="C9" i="44"/>
  <c r="C8" i="44"/>
  <c r="C7" i="44"/>
  <c r="C20" i="44"/>
  <c r="C19" i="44"/>
  <c r="C18" i="44"/>
  <c r="C17" i="44"/>
  <c r="C16" i="44"/>
  <c r="C15" i="44"/>
  <c r="C14" i="44"/>
  <c r="B33" i="44"/>
  <c r="C27" i="44"/>
  <c r="C26" i="44"/>
  <c r="C25" i="44"/>
  <c r="C24" i="44"/>
  <c r="C23" i="44"/>
  <c r="C22" i="44"/>
  <c r="C21" i="44"/>
  <c r="B29" i="44" l="1"/>
  <c r="B30" i="44" s="1"/>
  <c r="B31" i="44" s="1"/>
  <c r="B32" i="44" s="1"/>
  <c r="B34" i="44" l="1"/>
  <c r="B35" i="44" s="1"/>
  <c r="C129" i="29" l="1"/>
  <c r="C134" i="29" s="1"/>
  <c r="C117" i="29"/>
  <c r="C122" i="29" s="1"/>
  <c r="C105" i="29"/>
  <c r="C110" i="29" s="1"/>
  <c r="C93" i="29"/>
  <c r="C98" i="29" s="1"/>
  <c r="C81" i="29"/>
  <c r="C86" i="29" s="1"/>
  <c r="C69" i="29"/>
  <c r="C74" i="29" s="1"/>
  <c r="C57" i="29"/>
  <c r="C62" i="29" s="1"/>
  <c r="C45" i="29"/>
  <c r="C50" i="29" s="1"/>
  <c r="C33" i="29"/>
  <c r="C38" i="29" s="1"/>
  <c r="C21" i="29"/>
  <c r="C26" i="29" s="1"/>
  <c r="C8" i="29" l="1"/>
  <c r="N115" i="17" l="1"/>
  <c r="N116" i="17" s="1"/>
  <c r="M115" i="17"/>
  <c r="M116" i="17" s="1"/>
  <c r="L115" i="17"/>
  <c r="L116" i="17" s="1"/>
  <c r="K115" i="17"/>
  <c r="K116" i="17" s="1"/>
  <c r="J115" i="17"/>
  <c r="J116" i="17" s="1"/>
  <c r="I115" i="17"/>
  <c r="I116" i="17" s="1"/>
  <c r="H115" i="17"/>
  <c r="H116" i="17" s="1"/>
  <c r="G115" i="17"/>
  <c r="G116" i="17" s="1"/>
  <c r="F115" i="17"/>
  <c r="F116" i="17" s="1"/>
  <c r="E115" i="17"/>
  <c r="E116" i="17" s="1"/>
  <c r="D115" i="17"/>
  <c r="D116" i="17" s="1"/>
  <c r="C115" i="17"/>
  <c r="C116" i="17" s="1"/>
  <c r="N108" i="17"/>
  <c r="N109" i="17" s="1"/>
  <c r="M108" i="17"/>
  <c r="M109" i="17" s="1"/>
  <c r="L108" i="17"/>
  <c r="L109" i="17" s="1"/>
  <c r="K108" i="17"/>
  <c r="K109" i="17" s="1"/>
  <c r="J108" i="17"/>
  <c r="J109" i="17" s="1"/>
  <c r="I108" i="17"/>
  <c r="I109" i="17" s="1"/>
  <c r="H108" i="17"/>
  <c r="H109" i="17" s="1"/>
  <c r="G108" i="17"/>
  <c r="G109" i="17" s="1"/>
  <c r="F108" i="17"/>
  <c r="F109" i="17" s="1"/>
  <c r="E108" i="17"/>
  <c r="E109" i="17" s="1"/>
  <c r="D108" i="17"/>
  <c r="D109" i="17" s="1"/>
  <c r="C108" i="17"/>
  <c r="C109" i="17" s="1"/>
  <c r="N101" i="17"/>
  <c r="N102" i="17" s="1"/>
  <c r="M101" i="17"/>
  <c r="M102" i="17" s="1"/>
  <c r="L101" i="17"/>
  <c r="L102" i="17" s="1"/>
  <c r="K101" i="17"/>
  <c r="K102" i="17" s="1"/>
  <c r="J101" i="17"/>
  <c r="J102" i="17" s="1"/>
  <c r="I101" i="17"/>
  <c r="I102" i="17" s="1"/>
  <c r="H101" i="17"/>
  <c r="H102" i="17" s="1"/>
  <c r="G101" i="17"/>
  <c r="G102" i="17" s="1"/>
  <c r="F101" i="17"/>
  <c r="F102" i="17" s="1"/>
  <c r="E101" i="17"/>
  <c r="E102" i="17" s="1"/>
  <c r="D101" i="17"/>
  <c r="D102" i="17" s="1"/>
  <c r="C101" i="17"/>
  <c r="C102" i="17" s="1"/>
  <c r="N78" i="17"/>
  <c r="N79" i="17" s="1"/>
  <c r="M78" i="17"/>
  <c r="M79" i="17" s="1"/>
  <c r="L78" i="17"/>
  <c r="L79" i="17" s="1"/>
  <c r="K78" i="17"/>
  <c r="K79" i="17" s="1"/>
  <c r="J78" i="17"/>
  <c r="J79" i="17" s="1"/>
  <c r="I78" i="17"/>
  <c r="I79" i="17" s="1"/>
  <c r="H78" i="17"/>
  <c r="H79" i="17" s="1"/>
  <c r="G78" i="17"/>
  <c r="G79" i="17" s="1"/>
  <c r="F78" i="17"/>
  <c r="F79" i="17" s="1"/>
  <c r="E78" i="17"/>
  <c r="E79" i="17" s="1"/>
  <c r="D78" i="17"/>
  <c r="D79" i="17" s="1"/>
  <c r="C78" i="17"/>
  <c r="C79" i="17" s="1"/>
  <c r="N71" i="17"/>
  <c r="N72" i="17" s="1"/>
  <c r="M71" i="17"/>
  <c r="M72" i="17" s="1"/>
  <c r="L71" i="17"/>
  <c r="L72" i="17" s="1"/>
  <c r="K71" i="17"/>
  <c r="K72" i="17" s="1"/>
  <c r="J71" i="17"/>
  <c r="J72" i="17" s="1"/>
  <c r="I71" i="17"/>
  <c r="I72" i="17" s="1"/>
  <c r="H71" i="17"/>
  <c r="H72" i="17" s="1"/>
  <c r="G71" i="17"/>
  <c r="G72" i="17" s="1"/>
  <c r="F71" i="17"/>
  <c r="F72" i="17" s="1"/>
  <c r="E71" i="17"/>
  <c r="E72" i="17" s="1"/>
  <c r="D71" i="17"/>
  <c r="D72" i="17" s="1"/>
  <c r="C71" i="17"/>
  <c r="C72" i="17" s="1"/>
  <c r="N64" i="17"/>
  <c r="N65" i="17" s="1"/>
  <c r="M64" i="17"/>
  <c r="M65" i="17" s="1"/>
  <c r="L64" i="17"/>
  <c r="L65" i="17" s="1"/>
  <c r="K64" i="17"/>
  <c r="K65" i="17" s="1"/>
  <c r="J64" i="17"/>
  <c r="J65" i="17" s="1"/>
  <c r="I64" i="17"/>
  <c r="I65" i="17" s="1"/>
  <c r="H64" i="17"/>
  <c r="H65" i="17" s="1"/>
  <c r="G64" i="17"/>
  <c r="G65" i="17" s="1"/>
  <c r="F64" i="17"/>
  <c r="F65" i="17" s="1"/>
  <c r="E64" i="17"/>
  <c r="E65" i="17" s="1"/>
  <c r="D64" i="17"/>
  <c r="D65" i="17" s="1"/>
  <c r="C64" i="17"/>
  <c r="C65" i="17" s="1"/>
  <c r="N57" i="17"/>
  <c r="N58" i="17" s="1"/>
  <c r="M57" i="17"/>
  <c r="M58" i="17" s="1"/>
  <c r="L57" i="17"/>
  <c r="L58" i="17" s="1"/>
  <c r="K57" i="17"/>
  <c r="K58" i="17" s="1"/>
  <c r="J57" i="17"/>
  <c r="J58" i="17" s="1"/>
  <c r="I57" i="17"/>
  <c r="I58" i="17" s="1"/>
  <c r="H57" i="17"/>
  <c r="H58" i="17" s="1"/>
  <c r="G57" i="17"/>
  <c r="G58" i="17" s="1"/>
  <c r="F57" i="17"/>
  <c r="F58" i="17" s="1"/>
  <c r="E57" i="17"/>
  <c r="E58" i="17" s="1"/>
  <c r="D57" i="17"/>
  <c r="D58" i="17" s="1"/>
  <c r="C57" i="17"/>
  <c r="C58" i="17" s="1"/>
  <c r="N50" i="17"/>
  <c r="N51" i="17" s="1"/>
  <c r="M50" i="17"/>
  <c r="M51" i="17" s="1"/>
  <c r="L50" i="17"/>
  <c r="L51" i="17" s="1"/>
  <c r="K50" i="17"/>
  <c r="K51" i="17" s="1"/>
  <c r="J50" i="17"/>
  <c r="J51" i="17" s="1"/>
  <c r="I50" i="17"/>
  <c r="I51" i="17" s="1"/>
  <c r="H50" i="17"/>
  <c r="H51" i="17" s="1"/>
  <c r="G50" i="17"/>
  <c r="G51" i="17" s="1"/>
  <c r="F50" i="17"/>
  <c r="F51" i="17" s="1"/>
  <c r="E50" i="17"/>
  <c r="E51" i="17" s="1"/>
  <c r="D50" i="17"/>
  <c r="D51" i="17" s="1"/>
  <c r="C50" i="17"/>
  <c r="C51" i="17" s="1"/>
  <c r="N43" i="17"/>
  <c r="N44" i="17" s="1"/>
  <c r="M43" i="17"/>
  <c r="M44" i="17" s="1"/>
  <c r="L43" i="17"/>
  <c r="L44" i="17" s="1"/>
  <c r="K43" i="17"/>
  <c r="K44" i="17" s="1"/>
  <c r="J43" i="17"/>
  <c r="J44" i="17" s="1"/>
  <c r="I43" i="17"/>
  <c r="I44" i="17" s="1"/>
  <c r="H43" i="17"/>
  <c r="H44" i="17" s="1"/>
  <c r="G43" i="17"/>
  <c r="G44" i="17" s="1"/>
  <c r="F43" i="17"/>
  <c r="F44" i="17" s="1"/>
  <c r="E43" i="17"/>
  <c r="E44" i="17" s="1"/>
  <c r="D43" i="17"/>
  <c r="D44" i="17" s="1"/>
  <c r="C43" i="17"/>
  <c r="C44" i="17" s="1"/>
  <c r="N36" i="17"/>
  <c r="N37" i="17" s="1"/>
  <c r="M36" i="17"/>
  <c r="M37" i="17" s="1"/>
  <c r="L36" i="17"/>
  <c r="L37" i="17" s="1"/>
  <c r="K36" i="17"/>
  <c r="K37" i="17" s="1"/>
  <c r="J36" i="17"/>
  <c r="J37" i="17" s="1"/>
  <c r="I36" i="17"/>
  <c r="I37" i="17" s="1"/>
  <c r="H36" i="17"/>
  <c r="H37" i="17" s="1"/>
  <c r="G36" i="17"/>
  <c r="G37" i="17" s="1"/>
  <c r="E36" i="17"/>
  <c r="E37" i="17" s="1"/>
  <c r="D36" i="17"/>
  <c r="D37" i="17" s="1"/>
  <c r="C36" i="17"/>
  <c r="C37" i="17" s="1"/>
  <c r="N27" i="17"/>
  <c r="M27" i="17"/>
  <c r="L27" i="17"/>
  <c r="K27" i="17"/>
  <c r="J27" i="17"/>
  <c r="D27" i="17"/>
  <c r="E27" i="17"/>
  <c r="F27" i="17"/>
  <c r="G27" i="17"/>
  <c r="H27" i="17"/>
  <c r="I27" i="17"/>
  <c r="C27" i="17"/>
  <c r="F37" i="17" l="1"/>
  <c r="O37" i="17" s="1"/>
  <c r="E8" i="17"/>
  <c r="O34" i="17"/>
  <c r="O41" i="17"/>
  <c r="O48" i="17"/>
  <c r="O55" i="17"/>
  <c r="O62" i="17"/>
  <c r="O69" i="17"/>
  <c r="O76" i="17"/>
  <c r="O99" i="17"/>
  <c r="O106" i="17"/>
  <c r="O113" i="17"/>
  <c r="B112" i="17"/>
  <c r="B124" i="29" s="1"/>
  <c r="B105" i="17"/>
  <c r="B112" i="29" s="1"/>
  <c r="E21" i="17"/>
  <c r="E20" i="17"/>
  <c r="E19" i="17"/>
  <c r="E18" i="17"/>
  <c r="L114" i="17" s="1"/>
  <c r="E17" i="17"/>
  <c r="M107" i="17" s="1"/>
  <c r="E16" i="17"/>
  <c r="M100" i="17" s="1"/>
  <c r="B98" i="17"/>
  <c r="B100" i="29" s="1"/>
  <c r="B75" i="17"/>
  <c r="B88" i="29" s="1"/>
  <c r="B68" i="17"/>
  <c r="B76" i="29" s="1"/>
  <c r="B61" i="17"/>
  <c r="B64" i="29" s="1"/>
  <c r="J100" i="17" l="1"/>
  <c r="K100" i="17"/>
  <c r="F100" i="17"/>
  <c r="N100" i="17"/>
  <c r="G100" i="17"/>
  <c r="E114" i="17"/>
  <c r="M114" i="17"/>
  <c r="J114" i="17"/>
  <c r="C114" i="17"/>
  <c r="G114" i="17"/>
  <c r="K114" i="17"/>
  <c r="I114" i="17"/>
  <c r="F114" i="17"/>
  <c r="N114" i="17"/>
  <c r="D114" i="17"/>
  <c r="D117" i="17" s="1"/>
  <c r="H114" i="17"/>
  <c r="D107" i="17"/>
  <c r="J107" i="17"/>
  <c r="F107" i="17"/>
  <c r="K107" i="17"/>
  <c r="G107" i="17"/>
  <c r="L107" i="17"/>
  <c r="C107" i="17"/>
  <c r="H107" i="17"/>
  <c r="N107" i="17"/>
  <c r="D100" i="17"/>
  <c r="H100" i="17"/>
  <c r="L100" i="17"/>
  <c r="E107" i="17"/>
  <c r="I107" i="17"/>
  <c r="E100" i="17"/>
  <c r="I100" i="17"/>
  <c r="C100" i="17"/>
  <c r="B122" i="29" l="1"/>
  <c r="B98" i="29"/>
  <c r="B86" i="29"/>
  <c r="B110" i="29"/>
  <c r="B74" i="29"/>
  <c r="B134" i="29"/>
  <c r="O114" i="17"/>
  <c r="D14" i="41" s="1"/>
  <c r="O100" i="17"/>
  <c r="D12" i="41" s="1"/>
  <c r="O107" i="17"/>
  <c r="D13" i="41" s="1"/>
  <c r="F55" i="41"/>
  <c r="F20" i="41"/>
  <c r="F57" i="41" l="1"/>
  <c r="F59" i="41" s="1"/>
  <c r="C13" i="29"/>
  <c r="E15" i="17"/>
  <c r="E13" i="17"/>
  <c r="N63" i="17" s="1"/>
  <c r="E12" i="17"/>
  <c r="M56" i="17" s="1"/>
  <c r="E11" i="17"/>
  <c r="E10" i="17"/>
  <c r="L42" i="17" s="1"/>
  <c r="E9" i="17"/>
  <c r="G35" i="17" s="1"/>
  <c r="M26" i="17"/>
  <c r="K49" i="17" l="1"/>
  <c r="K52" i="17" s="1"/>
  <c r="C49" i="17"/>
  <c r="I117" i="17"/>
  <c r="K110" i="17"/>
  <c r="E103" i="17"/>
  <c r="K117" i="17"/>
  <c r="N117" i="17"/>
  <c r="G117" i="17"/>
  <c r="I110" i="17"/>
  <c r="M103" i="17"/>
  <c r="M117" i="17"/>
  <c r="E117" i="17"/>
  <c r="G110" i="17"/>
  <c r="D103" i="17"/>
  <c r="L110" i="17"/>
  <c r="D110" i="17"/>
  <c r="N103" i="17"/>
  <c r="F117" i="17"/>
  <c r="G103" i="17"/>
  <c r="L103" i="17"/>
  <c r="H117" i="17"/>
  <c r="F110" i="17"/>
  <c r="J117" i="17"/>
  <c r="K103" i="17"/>
  <c r="M110" i="17"/>
  <c r="N110" i="17"/>
  <c r="C103" i="17"/>
  <c r="L117" i="17"/>
  <c r="E110" i="17"/>
  <c r="F103" i="17"/>
  <c r="J110" i="17"/>
  <c r="H103" i="17"/>
  <c r="H110" i="17"/>
  <c r="J103" i="17"/>
  <c r="J28" i="17"/>
  <c r="D28" i="17"/>
  <c r="K28" i="17"/>
  <c r="I103" i="17"/>
  <c r="C28" i="17"/>
  <c r="N66" i="17"/>
  <c r="F28" i="17"/>
  <c r="G28" i="17"/>
  <c r="L28" i="17"/>
  <c r="M59" i="17"/>
  <c r="I28" i="17"/>
  <c r="M28" i="17"/>
  <c r="M29" i="17" s="1"/>
  <c r="G38" i="17"/>
  <c r="K77" i="17"/>
  <c r="G77" i="17"/>
  <c r="N77" i="17"/>
  <c r="N61" i="21" s="1"/>
  <c r="J77" i="17"/>
  <c r="F77" i="17"/>
  <c r="F17" i="39" s="1"/>
  <c r="M77" i="17"/>
  <c r="M17" i="39" s="1"/>
  <c r="I77" i="17"/>
  <c r="E77" i="17"/>
  <c r="L77" i="17"/>
  <c r="L61" i="21" s="1"/>
  <c r="AA61" i="21" s="1"/>
  <c r="H77" i="17"/>
  <c r="H61" i="21" s="1"/>
  <c r="W61" i="21" s="1"/>
  <c r="D77" i="17"/>
  <c r="D61" i="21" s="1"/>
  <c r="S61" i="21" s="1"/>
  <c r="M70" i="17"/>
  <c r="M49" i="21" s="1"/>
  <c r="C70" i="17"/>
  <c r="C77" i="17"/>
  <c r="N28" i="17"/>
  <c r="L45" i="17"/>
  <c r="H28" i="17"/>
  <c r="E28" i="17"/>
  <c r="C63" i="17"/>
  <c r="C55" i="21" s="1"/>
  <c r="F70" i="17"/>
  <c r="F15" i="39" s="1"/>
  <c r="J70" i="17"/>
  <c r="J49" i="21" s="1"/>
  <c r="N70" i="17"/>
  <c r="G63" i="17"/>
  <c r="G16" i="39" s="1"/>
  <c r="K63" i="17"/>
  <c r="K16" i="39" s="1"/>
  <c r="G70" i="17"/>
  <c r="G15" i="39" s="1"/>
  <c r="K70" i="17"/>
  <c r="K49" i="21" s="1"/>
  <c r="Z49" i="21" s="1"/>
  <c r="D63" i="17"/>
  <c r="D16" i="39" s="1"/>
  <c r="H63" i="17"/>
  <c r="H55" i="21" s="1"/>
  <c r="L63" i="17"/>
  <c r="L55" i="21" s="1"/>
  <c r="AA55" i="21" s="1"/>
  <c r="D70" i="17"/>
  <c r="H70" i="17"/>
  <c r="L70" i="17"/>
  <c r="E63" i="17"/>
  <c r="E16" i="39" s="1"/>
  <c r="I63" i="17"/>
  <c r="I16" i="39" s="1"/>
  <c r="M63" i="17"/>
  <c r="M16" i="39" s="1"/>
  <c r="E70" i="17"/>
  <c r="E15" i="39" s="1"/>
  <c r="I70" i="17"/>
  <c r="F63" i="17"/>
  <c r="F16" i="39" s="1"/>
  <c r="J63" i="17"/>
  <c r="J16" i="39" s="1"/>
  <c r="F56" i="17"/>
  <c r="J56" i="17"/>
  <c r="N56" i="17"/>
  <c r="N13" i="39" s="1"/>
  <c r="C56" i="17"/>
  <c r="C37" i="21" s="1"/>
  <c r="R37" i="21" s="1"/>
  <c r="G56" i="17"/>
  <c r="G13" i="39" s="1"/>
  <c r="K56" i="17"/>
  <c r="K37" i="21" s="1"/>
  <c r="Z37" i="21" s="1"/>
  <c r="D56" i="17"/>
  <c r="H56" i="17"/>
  <c r="L56" i="17"/>
  <c r="L13" i="39" s="1"/>
  <c r="E56" i="17"/>
  <c r="E13" i="39" s="1"/>
  <c r="I56" i="17"/>
  <c r="H26" i="17"/>
  <c r="D49" i="17"/>
  <c r="D31" i="21" s="1"/>
  <c r="S31" i="21" s="1"/>
  <c r="H49" i="17"/>
  <c r="L49" i="17"/>
  <c r="L12" i="39" s="1"/>
  <c r="E49" i="17"/>
  <c r="I49" i="17"/>
  <c r="M49" i="17"/>
  <c r="F49" i="17"/>
  <c r="F12" i="39" s="1"/>
  <c r="J49" i="17"/>
  <c r="J12" i="39" s="1"/>
  <c r="N49" i="17"/>
  <c r="E26" i="17"/>
  <c r="G49" i="17"/>
  <c r="G31" i="21" s="1"/>
  <c r="V31" i="21" s="1"/>
  <c r="E42" i="17"/>
  <c r="F42" i="17"/>
  <c r="J42" i="17"/>
  <c r="J11" i="39" s="1"/>
  <c r="I26" i="17"/>
  <c r="C42" i="17"/>
  <c r="C11" i="39" s="1"/>
  <c r="G42" i="17"/>
  <c r="K42" i="17"/>
  <c r="I42" i="17"/>
  <c r="M42" i="17"/>
  <c r="N42" i="17"/>
  <c r="C26" i="17"/>
  <c r="C9" i="39" s="1"/>
  <c r="D42" i="17"/>
  <c r="D11" i="39" s="1"/>
  <c r="H42" i="17"/>
  <c r="F26" i="17"/>
  <c r="J26" i="17"/>
  <c r="N26" i="17"/>
  <c r="N13" i="21" s="1"/>
  <c r="AC13" i="21" s="1"/>
  <c r="J35" i="17"/>
  <c r="N35" i="17"/>
  <c r="D35" i="17"/>
  <c r="D19" i="21" s="1"/>
  <c r="D26" i="17"/>
  <c r="D13" i="21" s="1"/>
  <c r="S13" i="21" s="1"/>
  <c r="G26" i="17"/>
  <c r="K26" i="17"/>
  <c r="K35" i="17"/>
  <c r="E35" i="17"/>
  <c r="L26" i="17"/>
  <c r="L9" i="39" s="1"/>
  <c r="H35" i="17"/>
  <c r="L35" i="17"/>
  <c r="F35" i="17"/>
  <c r="I35" i="17"/>
  <c r="I10" i="39" s="1"/>
  <c r="M35" i="17"/>
  <c r="M10" i="39" s="1"/>
  <c r="C35" i="17"/>
  <c r="C10" i="39" s="1"/>
  <c r="A36" i="21"/>
  <c r="E10" i="28"/>
  <c r="E9" i="28"/>
  <c r="E8" i="28"/>
  <c r="F8" i="28" s="1"/>
  <c r="C67" i="21"/>
  <c r="D67" i="21"/>
  <c r="E67" i="21"/>
  <c r="T67" i="21" s="1"/>
  <c r="F67" i="21"/>
  <c r="G67" i="21"/>
  <c r="V67" i="21" s="1"/>
  <c r="H18" i="39"/>
  <c r="I67" i="21"/>
  <c r="J67" i="21"/>
  <c r="K67" i="21"/>
  <c r="Z67" i="21" s="1"/>
  <c r="L67" i="21"/>
  <c r="M67" i="21"/>
  <c r="AB67" i="21" s="1"/>
  <c r="N67" i="21"/>
  <c r="C66" i="21"/>
  <c r="R66" i="21" s="1"/>
  <c r="D66" i="21"/>
  <c r="S66" i="21" s="1"/>
  <c r="E66" i="21"/>
  <c r="F66" i="21"/>
  <c r="U66" i="21" s="1"/>
  <c r="G66" i="21"/>
  <c r="V66" i="21" s="1"/>
  <c r="H66" i="21"/>
  <c r="W66" i="21" s="1"/>
  <c r="I66" i="21"/>
  <c r="J66" i="21"/>
  <c r="Y66" i="21" s="1"/>
  <c r="K66" i="21"/>
  <c r="Z66" i="21" s="1"/>
  <c r="L66" i="21"/>
  <c r="AA66" i="21" s="1"/>
  <c r="M66" i="21"/>
  <c r="N66" i="21"/>
  <c r="AC66" i="21" s="1"/>
  <c r="B68" i="21"/>
  <c r="C29" i="6" s="1"/>
  <c r="B29" i="6"/>
  <c r="B17" i="6"/>
  <c r="C30" i="39"/>
  <c r="O30" i="39" s="1"/>
  <c r="D30" i="39"/>
  <c r="E30" i="39"/>
  <c r="F30" i="39"/>
  <c r="G30" i="39"/>
  <c r="H30" i="39"/>
  <c r="I30" i="39"/>
  <c r="J30" i="39"/>
  <c r="K30" i="39"/>
  <c r="L30" i="39"/>
  <c r="M30" i="39"/>
  <c r="N30" i="39"/>
  <c r="B30" i="39"/>
  <c r="L18" i="39"/>
  <c r="D18" i="39"/>
  <c r="B18" i="39"/>
  <c r="AF68" i="21"/>
  <c r="AF67" i="21"/>
  <c r="AF66" i="21"/>
  <c r="AF65" i="21"/>
  <c r="AF63" i="21"/>
  <c r="AF62" i="21"/>
  <c r="AF61" i="21"/>
  <c r="AF60" i="21"/>
  <c r="AF57" i="21"/>
  <c r="AF56" i="21"/>
  <c r="AF55" i="21"/>
  <c r="AF54" i="21"/>
  <c r="AF51" i="21"/>
  <c r="AF50" i="21"/>
  <c r="AF49" i="21"/>
  <c r="AF48" i="21"/>
  <c r="E12" i="21"/>
  <c r="E18" i="21"/>
  <c r="T18" i="21" s="1"/>
  <c r="E24" i="21"/>
  <c r="T24" i="21" s="1"/>
  <c r="E30" i="21"/>
  <c r="T30" i="21" s="1"/>
  <c r="E36" i="21"/>
  <c r="T36" i="21" s="1"/>
  <c r="E42" i="21"/>
  <c r="T42" i="21" s="1"/>
  <c r="E48" i="21"/>
  <c r="E54" i="21"/>
  <c r="T54" i="21" s="1"/>
  <c r="E60" i="21"/>
  <c r="E65" i="21"/>
  <c r="T65" i="21" s="1"/>
  <c r="D12" i="21"/>
  <c r="S12" i="21" s="1"/>
  <c r="D18" i="21"/>
  <c r="S18" i="21" s="1"/>
  <c r="D24" i="21"/>
  <c r="S24" i="21" s="1"/>
  <c r="D30" i="21"/>
  <c r="S30" i="21" s="1"/>
  <c r="D36" i="21"/>
  <c r="S36" i="21" s="1"/>
  <c r="D42" i="21"/>
  <c r="S42" i="21" s="1"/>
  <c r="D48" i="21"/>
  <c r="S48" i="21" s="1"/>
  <c r="D54" i="21"/>
  <c r="S54" i="21" s="1"/>
  <c r="D60" i="21"/>
  <c r="S60" i="21" s="1"/>
  <c r="D65" i="21"/>
  <c r="S65" i="21" s="1"/>
  <c r="C12" i="21"/>
  <c r="R12" i="21" s="1"/>
  <c r="C18" i="21"/>
  <c r="R18" i="21" s="1"/>
  <c r="C24" i="21"/>
  <c r="R24" i="21" s="1"/>
  <c r="C30" i="21"/>
  <c r="R30" i="21" s="1"/>
  <c r="C36" i="21"/>
  <c r="R36" i="21" s="1"/>
  <c r="C42" i="21"/>
  <c r="C48" i="21"/>
  <c r="R48" i="21" s="1"/>
  <c r="C54" i="21"/>
  <c r="R54" i="21" s="1"/>
  <c r="C60" i="21"/>
  <c r="R60" i="21" s="1"/>
  <c r="C65" i="21"/>
  <c r="R65" i="21" s="1"/>
  <c r="N65" i="21"/>
  <c r="AC65" i="21" s="1"/>
  <c r="M65" i="21"/>
  <c r="AB65" i="21" s="1"/>
  <c r="L65" i="21"/>
  <c r="AA65" i="21" s="1"/>
  <c r="K65" i="21"/>
  <c r="Z65" i="21" s="1"/>
  <c r="J65" i="21"/>
  <c r="Y65" i="21" s="1"/>
  <c r="I65" i="21"/>
  <c r="X65" i="21" s="1"/>
  <c r="H65" i="21"/>
  <c r="W65" i="21" s="1"/>
  <c r="G65" i="21"/>
  <c r="V65" i="21" s="1"/>
  <c r="F65" i="21"/>
  <c r="U65" i="21" s="1"/>
  <c r="Q68" i="21"/>
  <c r="Q67" i="21"/>
  <c r="Q66" i="21"/>
  <c r="Q65" i="21"/>
  <c r="Q63" i="21"/>
  <c r="Q62" i="21"/>
  <c r="Q61" i="21"/>
  <c r="Q60" i="21"/>
  <c r="Q57" i="21"/>
  <c r="Q56" i="21"/>
  <c r="Q55" i="21"/>
  <c r="Q54" i="21"/>
  <c r="Q51" i="21"/>
  <c r="Q50" i="21"/>
  <c r="Q49" i="21"/>
  <c r="Q48" i="21"/>
  <c r="N60" i="21"/>
  <c r="AC60" i="21" s="1"/>
  <c r="M60" i="21"/>
  <c r="AB60" i="21" s="1"/>
  <c r="L60" i="21"/>
  <c r="AA60" i="21" s="1"/>
  <c r="K60" i="21"/>
  <c r="Z60" i="21" s="1"/>
  <c r="J60" i="21"/>
  <c r="Y60" i="21" s="1"/>
  <c r="I60" i="21"/>
  <c r="X60" i="21" s="1"/>
  <c r="H60" i="21"/>
  <c r="W60" i="21" s="1"/>
  <c r="G60" i="21"/>
  <c r="V60" i="21" s="1"/>
  <c r="F60" i="21"/>
  <c r="U60" i="21" s="1"/>
  <c r="N54" i="21"/>
  <c r="AC54" i="21" s="1"/>
  <c r="M54" i="21"/>
  <c r="AB54" i="21" s="1"/>
  <c r="L54" i="21"/>
  <c r="AA54" i="21" s="1"/>
  <c r="K54" i="21"/>
  <c r="Z54" i="21" s="1"/>
  <c r="J54" i="21"/>
  <c r="Y54" i="21" s="1"/>
  <c r="I54" i="21"/>
  <c r="X54" i="21" s="1"/>
  <c r="H54" i="21"/>
  <c r="W54" i="21" s="1"/>
  <c r="G54" i="21"/>
  <c r="V54" i="21" s="1"/>
  <c r="F54" i="21"/>
  <c r="U54" i="21" s="1"/>
  <c r="N48" i="21"/>
  <c r="AC48" i="21" s="1"/>
  <c r="M48" i="21"/>
  <c r="AB48" i="21" s="1"/>
  <c r="L48" i="21"/>
  <c r="AA48" i="21" s="1"/>
  <c r="K48" i="21"/>
  <c r="Z48" i="21" s="1"/>
  <c r="J48" i="21"/>
  <c r="Y48" i="21" s="1"/>
  <c r="I48" i="21"/>
  <c r="X48" i="21" s="1"/>
  <c r="H48" i="21"/>
  <c r="W48" i="21" s="1"/>
  <c r="G48" i="21"/>
  <c r="V48" i="21" s="1"/>
  <c r="F48" i="21"/>
  <c r="U48" i="21" s="1"/>
  <c r="B65" i="21"/>
  <c r="A66" i="21"/>
  <c r="A65" i="21"/>
  <c r="A60" i="21"/>
  <c r="A54" i="21"/>
  <c r="A48" i="21"/>
  <c r="N26" i="39"/>
  <c r="M26" i="39"/>
  <c r="L26" i="39"/>
  <c r="K26" i="39"/>
  <c r="J26" i="39"/>
  <c r="I26" i="39"/>
  <c r="H26" i="39"/>
  <c r="G26" i="39"/>
  <c r="F26" i="39"/>
  <c r="E26" i="39"/>
  <c r="D26" i="39"/>
  <c r="H14" i="39"/>
  <c r="N16" i="39"/>
  <c r="M9" i="39"/>
  <c r="J29" i="39"/>
  <c r="J62" i="21"/>
  <c r="Y62" i="21" s="1"/>
  <c r="J28" i="39"/>
  <c r="J56" i="21"/>
  <c r="Y56" i="21" s="1"/>
  <c r="J27" i="39"/>
  <c r="J50" i="21"/>
  <c r="Y50" i="21" s="1"/>
  <c r="J14" i="39"/>
  <c r="I14" i="39"/>
  <c r="C27" i="39"/>
  <c r="O27" i="39" s="1"/>
  <c r="C50" i="21"/>
  <c r="O50" i="21" s="1"/>
  <c r="E26" i="6" s="1"/>
  <c r="K29" i="39"/>
  <c r="K62" i="21"/>
  <c r="Z62" i="21" s="1"/>
  <c r="K28" i="39"/>
  <c r="K56" i="21"/>
  <c r="Z56" i="21" s="1"/>
  <c r="K27" i="39"/>
  <c r="K50" i="21"/>
  <c r="Z50" i="21" s="1"/>
  <c r="K14" i="39"/>
  <c r="D29" i="39"/>
  <c r="D62" i="21"/>
  <c r="S62" i="21" s="1"/>
  <c r="L29" i="39"/>
  <c r="L62" i="21"/>
  <c r="AA62" i="21" s="1"/>
  <c r="D28" i="39"/>
  <c r="D56" i="21"/>
  <c r="S56" i="21" s="1"/>
  <c r="L28" i="39"/>
  <c r="L56" i="21"/>
  <c r="D27" i="39"/>
  <c r="D50" i="21"/>
  <c r="S50" i="21" s="1"/>
  <c r="L27" i="39"/>
  <c r="L50" i="21"/>
  <c r="AA50" i="21" s="1"/>
  <c r="D14" i="39"/>
  <c r="L14" i="39"/>
  <c r="I28" i="39"/>
  <c r="I56" i="21"/>
  <c r="X56" i="21" s="1"/>
  <c r="C28" i="39"/>
  <c r="O28" i="39" s="1"/>
  <c r="C56" i="21"/>
  <c r="R56" i="21" s="1"/>
  <c r="AD56" i="21" s="1"/>
  <c r="G27" i="6" s="1"/>
  <c r="E29" i="39"/>
  <c r="E62" i="21"/>
  <c r="M29" i="39"/>
  <c r="M62" i="21"/>
  <c r="AB62" i="21" s="1"/>
  <c r="E28" i="39"/>
  <c r="E56" i="21"/>
  <c r="T56" i="21" s="1"/>
  <c r="M28" i="39"/>
  <c r="M56" i="21"/>
  <c r="AB56" i="21" s="1"/>
  <c r="E27" i="39"/>
  <c r="E50" i="21"/>
  <c r="T50" i="21" s="1"/>
  <c r="M27" i="39"/>
  <c r="M50" i="21"/>
  <c r="AB50" i="21" s="1"/>
  <c r="E14" i="39"/>
  <c r="M14" i="39"/>
  <c r="F29" i="39"/>
  <c r="F62" i="21"/>
  <c r="U62" i="21" s="1"/>
  <c r="N29" i="39"/>
  <c r="N62" i="21"/>
  <c r="AC62" i="21" s="1"/>
  <c r="F28" i="39"/>
  <c r="F56" i="21"/>
  <c r="U56" i="21" s="1"/>
  <c r="N28" i="39"/>
  <c r="N56" i="21"/>
  <c r="AC56" i="21" s="1"/>
  <c r="F27" i="39"/>
  <c r="F50" i="21"/>
  <c r="U50" i="21" s="1"/>
  <c r="N27" i="39"/>
  <c r="N50" i="21"/>
  <c r="AC50" i="21" s="1"/>
  <c r="F14" i="39"/>
  <c r="N14" i="39"/>
  <c r="I29" i="39"/>
  <c r="I62" i="21"/>
  <c r="X62" i="21" s="1"/>
  <c r="I27" i="39"/>
  <c r="I50" i="21"/>
  <c r="X50" i="21" s="1"/>
  <c r="C29" i="39"/>
  <c r="O29" i="39" s="1"/>
  <c r="C62" i="21"/>
  <c r="R62" i="21" s="1"/>
  <c r="G29" i="39"/>
  <c r="G62" i="21"/>
  <c r="V62" i="21" s="1"/>
  <c r="G28" i="39"/>
  <c r="G56" i="21"/>
  <c r="V56" i="21" s="1"/>
  <c r="G27" i="39"/>
  <c r="G50" i="21"/>
  <c r="V50" i="21" s="1"/>
  <c r="G14" i="39"/>
  <c r="H29" i="39"/>
  <c r="H62" i="21"/>
  <c r="W62" i="21" s="1"/>
  <c r="H28" i="39"/>
  <c r="H56" i="21"/>
  <c r="W56" i="21" s="1"/>
  <c r="H27" i="39"/>
  <c r="H50" i="21"/>
  <c r="B17" i="39"/>
  <c r="B16" i="6"/>
  <c r="B28" i="6"/>
  <c r="B29" i="39"/>
  <c r="A59" i="21"/>
  <c r="B62" i="21"/>
  <c r="C28" i="6" s="1"/>
  <c r="B60" i="21"/>
  <c r="B54" i="21"/>
  <c r="B48" i="21"/>
  <c r="B16" i="39"/>
  <c r="B15" i="6"/>
  <c r="B27" i="6"/>
  <c r="B28" i="39"/>
  <c r="A53" i="21"/>
  <c r="B27" i="39"/>
  <c r="B14" i="6"/>
  <c r="B15" i="39"/>
  <c r="B26" i="6"/>
  <c r="A47" i="21"/>
  <c r="B50" i="21"/>
  <c r="C26" i="6" s="1"/>
  <c r="B56" i="21"/>
  <c r="C27" i="6" s="1"/>
  <c r="C32" i="1"/>
  <c r="E34" i="1" s="1"/>
  <c r="I7" i="28" s="1"/>
  <c r="B51" i="21"/>
  <c r="L34" i="1"/>
  <c r="P7" i="28" s="1"/>
  <c r="M8" i="22" s="1"/>
  <c r="C34" i="1"/>
  <c r="G7" i="28" s="1"/>
  <c r="F34" i="1"/>
  <c r="J7" i="28" s="1"/>
  <c r="B34" i="1"/>
  <c r="F7" i="28" s="1"/>
  <c r="C8" i="22" s="1"/>
  <c r="C63" i="39"/>
  <c r="D25" i="39"/>
  <c r="E25" i="39"/>
  <c r="F25" i="39"/>
  <c r="G25" i="39"/>
  <c r="H25" i="39"/>
  <c r="I25" i="39"/>
  <c r="J25" i="39"/>
  <c r="K25" i="39"/>
  <c r="L25" i="39"/>
  <c r="M25" i="39"/>
  <c r="N25" i="39"/>
  <c r="M13" i="39"/>
  <c r="D24" i="39"/>
  <c r="E24" i="39"/>
  <c r="F24" i="39"/>
  <c r="G24" i="39"/>
  <c r="H24" i="39"/>
  <c r="I24" i="39"/>
  <c r="J24" i="39"/>
  <c r="K24" i="39"/>
  <c r="L24" i="39"/>
  <c r="M24" i="39"/>
  <c r="N24" i="39"/>
  <c r="E23" i="39"/>
  <c r="I23" i="39"/>
  <c r="K23" i="39"/>
  <c r="M23" i="39"/>
  <c r="L11" i="39"/>
  <c r="D22" i="39"/>
  <c r="E22" i="39"/>
  <c r="F22" i="39"/>
  <c r="G22" i="39"/>
  <c r="H22" i="39"/>
  <c r="I22" i="39"/>
  <c r="J22" i="39"/>
  <c r="K22" i="39"/>
  <c r="L22" i="39"/>
  <c r="M22" i="39"/>
  <c r="N22" i="39"/>
  <c r="G10" i="39"/>
  <c r="K21" i="39"/>
  <c r="K31" i="39" s="1"/>
  <c r="J21" i="39"/>
  <c r="J31" i="39" s="1"/>
  <c r="I21" i="39"/>
  <c r="I31" i="39" s="1"/>
  <c r="H21" i="39"/>
  <c r="H31" i="39" s="1"/>
  <c r="G21" i="39"/>
  <c r="G31" i="39" s="1"/>
  <c r="N21" i="39"/>
  <c r="N31" i="39" s="1"/>
  <c r="F21" i="39"/>
  <c r="F31" i="39" s="1"/>
  <c r="M21" i="39"/>
  <c r="M31" i="39" s="1"/>
  <c r="E21" i="39"/>
  <c r="E31" i="39" s="1"/>
  <c r="L21" i="39"/>
  <c r="L31" i="39" s="1"/>
  <c r="D21" i="39"/>
  <c r="D31" i="39" s="1"/>
  <c r="B5" i="31"/>
  <c r="B5" i="36"/>
  <c r="B5" i="27"/>
  <c r="B5" i="26"/>
  <c r="C5" i="5"/>
  <c r="B5" i="6"/>
  <c r="B5" i="39"/>
  <c r="B4" i="38"/>
  <c r="B5" i="25"/>
  <c r="B5" i="24"/>
  <c r="B5" i="7"/>
  <c r="B5" i="22"/>
  <c r="B5" i="2"/>
  <c r="C136" i="31"/>
  <c r="C5" i="31"/>
  <c r="C5" i="36"/>
  <c r="C5" i="27"/>
  <c r="C5" i="26"/>
  <c r="D5" i="5"/>
  <c r="C5" i="6"/>
  <c r="C5" i="39"/>
  <c r="C4" i="38"/>
  <c r="C5" i="25"/>
  <c r="C5" i="24"/>
  <c r="C5" i="7"/>
  <c r="C5" i="22"/>
  <c r="C5" i="21"/>
  <c r="C5" i="37"/>
  <c r="C5" i="2"/>
  <c r="B5" i="21"/>
  <c r="B5" i="37"/>
  <c r="C5" i="28"/>
  <c r="B5" i="28"/>
  <c r="B54" i="17"/>
  <c r="B52" i="29" s="1"/>
  <c r="B47" i="17"/>
  <c r="B40" i="29" s="1"/>
  <c r="B40" i="17"/>
  <c r="B28" i="29" s="1"/>
  <c r="B33" i="17"/>
  <c r="B16" i="29" s="1"/>
  <c r="B24" i="17"/>
  <c r="B4" i="29" s="1"/>
  <c r="B13" i="29" s="1"/>
  <c r="F42" i="21"/>
  <c r="U42" i="21" s="1"/>
  <c r="G42" i="21"/>
  <c r="V42" i="21" s="1"/>
  <c r="H42" i="21"/>
  <c r="W42" i="21" s="1"/>
  <c r="I42" i="21"/>
  <c r="X42" i="21" s="1"/>
  <c r="J42" i="21"/>
  <c r="Y42" i="21" s="1"/>
  <c r="K42" i="21"/>
  <c r="Z42" i="21" s="1"/>
  <c r="L42" i="21"/>
  <c r="AA42" i="21" s="1"/>
  <c r="M42" i="21"/>
  <c r="AB42" i="21" s="1"/>
  <c r="N42" i="21"/>
  <c r="AC42" i="21" s="1"/>
  <c r="D43" i="21"/>
  <c r="S43" i="21" s="1"/>
  <c r="E43" i="21"/>
  <c r="T43" i="21" s="1"/>
  <c r="F43" i="21"/>
  <c r="U43" i="21" s="1"/>
  <c r="G43" i="21"/>
  <c r="H43" i="21"/>
  <c r="W43" i="21" s="1"/>
  <c r="I43" i="21"/>
  <c r="X43" i="21" s="1"/>
  <c r="J43" i="21"/>
  <c r="K43" i="21"/>
  <c r="Z43" i="21" s="1"/>
  <c r="L43" i="21"/>
  <c r="AA43" i="21" s="1"/>
  <c r="M43" i="21"/>
  <c r="AB43" i="21" s="1"/>
  <c r="N43" i="21"/>
  <c r="AC43" i="21" s="1"/>
  <c r="D44" i="21"/>
  <c r="S44" i="21" s="1"/>
  <c r="E44" i="21"/>
  <c r="T44" i="21" s="1"/>
  <c r="F44" i="21"/>
  <c r="U44" i="21" s="1"/>
  <c r="G44" i="21"/>
  <c r="V44" i="21" s="1"/>
  <c r="H44" i="21"/>
  <c r="W44" i="21" s="1"/>
  <c r="I44" i="21"/>
  <c r="X44" i="21" s="1"/>
  <c r="J44" i="21"/>
  <c r="Y44" i="21" s="1"/>
  <c r="K44" i="21"/>
  <c r="Z44" i="21" s="1"/>
  <c r="L44" i="21"/>
  <c r="AA44" i="21" s="1"/>
  <c r="M44" i="21"/>
  <c r="AB44" i="21" s="1"/>
  <c r="N44" i="21"/>
  <c r="AC44" i="21" s="1"/>
  <c r="C43" i="21"/>
  <c r="R43" i="21" s="1"/>
  <c r="C44" i="21"/>
  <c r="R44" i="21" s="1"/>
  <c r="AD44" i="21" s="1"/>
  <c r="G25" i="6" s="1"/>
  <c r="F36" i="21"/>
  <c r="U36" i="21" s="1"/>
  <c r="G36" i="21"/>
  <c r="V36" i="21" s="1"/>
  <c r="H36" i="21"/>
  <c r="W36" i="21" s="1"/>
  <c r="I36" i="21"/>
  <c r="X36" i="21" s="1"/>
  <c r="J36" i="21"/>
  <c r="Y36" i="21" s="1"/>
  <c r="K36" i="21"/>
  <c r="Z36" i="21" s="1"/>
  <c r="L36" i="21"/>
  <c r="AA36" i="21" s="1"/>
  <c r="M36" i="21"/>
  <c r="AB36" i="21" s="1"/>
  <c r="N36" i="21"/>
  <c r="AC36" i="21" s="1"/>
  <c r="G37" i="21"/>
  <c r="V37" i="21" s="1"/>
  <c r="M37" i="21"/>
  <c r="AB37" i="21" s="1"/>
  <c r="D38" i="21"/>
  <c r="S38" i="21" s="1"/>
  <c r="E38" i="21"/>
  <c r="T38" i="21" s="1"/>
  <c r="F38" i="21"/>
  <c r="U38" i="21" s="1"/>
  <c r="G38" i="21"/>
  <c r="V38" i="21" s="1"/>
  <c r="H38" i="21"/>
  <c r="W38" i="21" s="1"/>
  <c r="I38" i="21"/>
  <c r="X38" i="21" s="1"/>
  <c r="J38" i="21"/>
  <c r="Y38" i="21" s="1"/>
  <c r="K38" i="21"/>
  <c r="Z38" i="21" s="1"/>
  <c r="L38" i="21"/>
  <c r="AA38" i="21" s="1"/>
  <c r="M38" i="21"/>
  <c r="AB38" i="21" s="1"/>
  <c r="N38" i="21"/>
  <c r="AC38" i="21" s="1"/>
  <c r="C38" i="21"/>
  <c r="R38" i="21" s="1"/>
  <c r="AD38" i="21" s="1"/>
  <c r="G24" i="6" s="1"/>
  <c r="F30" i="21"/>
  <c r="U30" i="21" s="1"/>
  <c r="G30" i="21"/>
  <c r="V30" i="21" s="1"/>
  <c r="H30" i="21"/>
  <c r="W30" i="21" s="1"/>
  <c r="I30" i="21"/>
  <c r="X30" i="21" s="1"/>
  <c r="J30" i="21"/>
  <c r="Y30" i="21" s="1"/>
  <c r="K30" i="21"/>
  <c r="Z30" i="21" s="1"/>
  <c r="L30" i="21"/>
  <c r="AA30" i="21" s="1"/>
  <c r="M30" i="21"/>
  <c r="AB30" i="21" s="1"/>
  <c r="N30" i="21"/>
  <c r="AC30" i="21" s="1"/>
  <c r="D32" i="21"/>
  <c r="S32" i="21" s="1"/>
  <c r="E32" i="21"/>
  <c r="T32" i="21" s="1"/>
  <c r="F32" i="21"/>
  <c r="U32" i="21" s="1"/>
  <c r="G32" i="21"/>
  <c r="V32" i="21" s="1"/>
  <c r="H32" i="21"/>
  <c r="W32" i="21" s="1"/>
  <c r="I32" i="21"/>
  <c r="X32" i="21" s="1"/>
  <c r="J32" i="21"/>
  <c r="Y32" i="21" s="1"/>
  <c r="K32" i="21"/>
  <c r="Z32" i="21" s="1"/>
  <c r="L32" i="21"/>
  <c r="AA32" i="21" s="1"/>
  <c r="M32" i="21"/>
  <c r="AB32" i="21" s="1"/>
  <c r="N32" i="21"/>
  <c r="AC32" i="21" s="1"/>
  <c r="C32" i="21"/>
  <c r="F24" i="21"/>
  <c r="U24" i="21" s="1"/>
  <c r="G24" i="21"/>
  <c r="V24" i="21" s="1"/>
  <c r="H24" i="21"/>
  <c r="W24" i="21" s="1"/>
  <c r="I24" i="21"/>
  <c r="X24" i="21" s="1"/>
  <c r="J24" i="21"/>
  <c r="Y24" i="21" s="1"/>
  <c r="K24" i="21"/>
  <c r="Z24" i="21" s="1"/>
  <c r="L24" i="21"/>
  <c r="AA24" i="21" s="1"/>
  <c r="M24" i="21"/>
  <c r="AB24" i="21" s="1"/>
  <c r="N24" i="21"/>
  <c r="AC24" i="21" s="1"/>
  <c r="L25" i="21"/>
  <c r="AA25" i="21" s="1"/>
  <c r="I26" i="21"/>
  <c r="X26" i="21" s="1"/>
  <c r="C26" i="21"/>
  <c r="F18" i="21"/>
  <c r="U18" i="21" s="1"/>
  <c r="G18" i="21"/>
  <c r="V18" i="21" s="1"/>
  <c r="H18" i="21"/>
  <c r="W18" i="21" s="1"/>
  <c r="I18" i="21"/>
  <c r="X18" i="21" s="1"/>
  <c r="J18" i="21"/>
  <c r="Y18" i="21" s="1"/>
  <c r="K18" i="21"/>
  <c r="Z18" i="21" s="1"/>
  <c r="L18" i="21"/>
  <c r="AA18" i="21" s="1"/>
  <c r="M18" i="21"/>
  <c r="AB18" i="21" s="1"/>
  <c r="N18" i="21"/>
  <c r="AC18" i="21" s="1"/>
  <c r="G19" i="21"/>
  <c r="V19" i="21" s="1"/>
  <c r="D20" i="21"/>
  <c r="S20" i="21" s="1"/>
  <c r="E20" i="21"/>
  <c r="T20" i="21" s="1"/>
  <c r="F20" i="21"/>
  <c r="U20" i="21" s="1"/>
  <c r="G20" i="21"/>
  <c r="V20" i="21" s="1"/>
  <c r="H20" i="21"/>
  <c r="W20" i="21" s="1"/>
  <c r="I20" i="21"/>
  <c r="X20" i="21" s="1"/>
  <c r="J20" i="21"/>
  <c r="Y20" i="21" s="1"/>
  <c r="K20" i="21"/>
  <c r="Z20" i="21" s="1"/>
  <c r="L20" i="21"/>
  <c r="AA20" i="21" s="1"/>
  <c r="M20" i="21"/>
  <c r="AB20" i="21" s="1"/>
  <c r="N20" i="21"/>
  <c r="AC20" i="21" s="1"/>
  <c r="C20" i="21"/>
  <c r="R20" i="21" s="1"/>
  <c r="F12" i="21"/>
  <c r="U12" i="21" s="1"/>
  <c r="G12" i="21"/>
  <c r="V12" i="21" s="1"/>
  <c r="H12" i="21"/>
  <c r="W12" i="21" s="1"/>
  <c r="I12" i="21"/>
  <c r="X12" i="21" s="1"/>
  <c r="J12" i="21"/>
  <c r="Y12" i="21" s="1"/>
  <c r="K12" i="21"/>
  <c r="Z12" i="21" s="1"/>
  <c r="L12" i="21"/>
  <c r="AA12" i="21" s="1"/>
  <c r="M12" i="21"/>
  <c r="AB12" i="21" s="1"/>
  <c r="N12" i="21"/>
  <c r="AC12" i="21" s="1"/>
  <c r="M13" i="21"/>
  <c r="D14" i="21"/>
  <c r="S14" i="21" s="1"/>
  <c r="E14" i="21"/>
  <c r="T14" i="21" s="1"/>
  <c r="F14" i="21"/>
  <c r="U14" i="21" s="1"/>
  <c r="G14" i="21"/>
  <c r="H14" i="21"/>
  <c r="W14" i="21" s="1"/>
  <c r="I14" i="21"/>
  <c r="X14" i="21" s="1"/>
  <c r="J14" i="21"/>
  <c r="Y14" i="21" s="1"/>
  <c r="K14" i="21"/>
  <c r="Z14" i="21" s="1"/>
  <c r="L14" i="21"/>
  <c r="AA14" i="21" s="1"/>
  <c r="M14" i="21"/>
  <c r="AB14" i="21" s="1"/>
  <c r="N14" i="21"/>
  <c r="AC14" i="21" s="1"/>
  <c r="C14" i="21"/>
  <c r="R14" i="21" s="1"/>
  <c r="AD14" i="21" s="1"/>
  <c r="G20" i="6" s="1"/>
  <c r="G30" i="6" s="1"/>
  <c r="E26" i="27" s="1"/>
  <c r="AF45" i="21"/>
  <c r="AF44" i="21"/>
  <c r="AF43" i="21"/>
  <c r="AF42" i="21"/>
  <c r="AF39" i="21"/>
  <c r="AF38" i="21"/>
  <c r="AF37" i="21"/>
  <c r="AF36" i="21"/>
  <c r="AF33" i="21"/>
  <c r="AF32" i="21"/>
  <c r="AF31" i="21"/>
  <c r="AF30" i="21"/>
  <c r="AF27" i="21"/>
  <c r="AF26" i="21"/>
  <c r="AF25" i="21"/>
  <c r="AF24" i="21"/>
  <c r="AF21" i="21"/>
  <c r="AF20" i="21"/>
  <c r="AF19" i="21"/>
  <c r="AF18" i="21"/>
  <c r="AF15" i="21"/>
  <c r="AF14" i="21"/>
  <c r="AF13" i="21"/>
  <c r="AF12" i="21"/>
  <c r="Q45" i="21"/>
  <c r="Q44" i="21"/>
  <c r="Q43" i="21"/>
  <c r="Q42" i="21"/>
  <c r="A42" i="21"/>
  <c r="Q39" i="21"/>
  <c r="Q38" i="21"/>
  <c r="Q37" i="21"/>
  <c r="Q36" i="21"/>
  <c r="Q33" i="21"/>
  <c r="Q32" i="21"/>
  <c r="Q31" i="21"/>
  <c r="Q30" i="21"/>
  <c r="A30" i="21"/>
  <c r="Q27" i="21"/>
  <c r="Q26" i="21"/>
  <c r="Q25" i="21"/>
  <c r="Q24" i="21"/>
  <c r="A24" i="21"/>
  <c r="Q21" i="21"/>
  <c r="Q20" i="21"/>
  <c r="Q19" i="21"/>
  <c r="Q18" i="21"/>
  <c r="A18" i="21"/>
  <c r="Q15" i="21"/>
  <c r="Q14" i="21"/>
  <c r="Q13" i="21"/>
  <c r="Q12" i="21"/>
  <c r="A12" i="21"/>
  <c r="C20" i="24"/>
  <c r="B26" i="39"/>
  <c r="B14" i="39"/>
  <c r="B13" i="6"/>
  <c r="B25" i="6"/>
  <c r="A41" i="21"/>
  <c r="G136" i="31"/>
  <c r="O24" i="22"/>
  <c r="C22" i="7" s="1"/>
  <c r="E22" i="7" s="1"/>
  <c r="O23" i="22"/>
  <c r="O22" i="22"/>
  <c r="C20" i="7" s="1"/>
  <c r="O16" i="22"/>
  <c r="B12" i="28"/>
  <c r="E18" i="28" s="1"/>
  <c r="F18" i="28" s="1"/>
  <c r="G18" i="28" s="1"/>
  <c r="C134" i="31"/>
  <c r="C135" i="31" s="1"/>
  <c r="O17" i="25"/>
  <c r="D11" i="5" s="1"/>
  <c r="B16" i="38"/>
  <c r="AB16" i="38"/>
  <c r="O16" i="38"/>
  <c r="F39" i="5"/>
  <c r="E39" i="5"/>
  <c r="D39" i="5"/>
  <c r="N126" i="31"/>
  <c r="M126" i="31"/>
  <c r="L126" i="31"/>
  <c r="K126" i="31"/>
  <c r="J126" i="31"/>
  <c r="I126" i="31"/>
  <c r="H126" i="31"/>
  <c r="G126" i="31"/>
  <c r="F126" i="31"/>
  <c r="E126" i="31"/>
  <c r="D126" i="31"/>
  <c r="C126" i="31"/>
  <c r="N122" i="31"/>
  <c r="M122" i="31"/>
  <c r="L122" i="31"/>
  <c r="K122" i="31"/>
  <c r="J122" i="31"/>
  <c r="I122" i="31"/>
  <c r="H122" i="31"/>
  <c r="G122" i="31"/>
  <c r="F122" i="31"/>
  <c r="E122" i="31"/>
  <c r="D122" i="31"/>
  <c r="C122" i="31"/>
  <c r="O27" i="38"/>
  <c r="O26" i="38"/>
  <c r="O28" i="25"/>
  <c r="B27" i="38" s="1"/>
  <c r="O27" i="25"/>
  <c r="B26" i="38" s="1"/>
  <c r="N49" i="39"/>
  <c r="M49" i="39"/>
  <c r="L49" i="39"/>
  <c r="K49" i="39"/>
  <c r="J49" i="39"/>
  <c r="I49" i="39"/>
  <c r="H49" i="39"/>
  <c r="G49" i="39"/>
  <c r="F49" i="39"/>
  <c r="E49" i="39"/>
  <c r="D49" i="39"/>
  <c r="C49" i="39"/>
  <c r="E20" i="24"/>
  <c r="D20" i="24"/>
  <c r="E12" i="24"/>
  <c r="E13" i="24" s="1"/>
  <c r="D12" i="24"/>
  <c r="D13" i="24" s="1"/>
  <c r="C12" i="24"/>
  <c r="C13" i="24" s="1"/>
  <c r="E17" i="5"/>
  <c r="F17" i="5"/>
  <c r="D17" i="5"/>
  <c r="C35" i="22"/>
  <c r="C8" i="25"/>
  <c r="R35" i="24"/>
  <c r="R15" i="38" s="1"/>
  <c r="Q35" i="24"/>
  <c r="C15" i="38" s="1"/>
  <c r="O35" i="24"/>
  <c r="N16" i="25" s="1"/>
  <c r="N35" i="24"/>
  <c r="M16" i="25" s="1"/>
  <c r="M35" i="24"/>
  <c r="L16" i="25" s="1"/>
  <c r="L35" i="24"/>
  <c r="K16" i="25" s="1"/>
  <c r="K35" i="24"/>
  <c r="J16" i="25" s="1"/>
  <c r="J35" i="24"/>
  <c r="I16" i="25" s="1"/>
  <c r="I35" i="24"/>
  <c r="H16" i="25" s="1"/>
  <c r="H35" i="24"/>
  <c r="G16" i="25" s="1"/>
  <c r="G35" i="24"/>
  <c r="F16" i="25" s="1"/>
  <c r="F35" i="24"/>
  <c r="E16" i="25" s="1"/>
  <c r="E35" i="24"/>
  <c r="D16" i="25" s="1"/>
  <c r="C117" i="31"/>
  <c r="C119" i="31" s="1"/>
  <c r="D118" i="31"/>
  <c r="E118" i="31"/>
  <c r="F118" i="31"/>
  <c r="G118" i="31"/>
  <c r="H118" i="31"/>
  <c r="I118" i="31"/>
  <c r="J118" i="31"/>
  <c r="K118" i="31"/>
  <c r="L118" i="31"/>
  <c r="M118" i="31"/>
  <c r="N118" i="31"/>
  <c r="C21" i="39"/>
  <c r="C31" i="39" s="1"/>
  <c r="O31" i="39" s="1"/>
  <c r="C23" i="39"/>
  <c r="C14" i="7"/>
  <c r="E14" i="7" s="1"/>
  <c r="C21" i="7"/>
  <c r="E21" i="7" s="1"/>
  <c r="G21" i="7" s="1"/>
  <c r="G47" i="6" s="1"/>
  <c r="C10" i="31"/>
  <c r="C11" i="31"/>
  <c r="G24" i="31" s="1"/>
  <c r="C9" i="31"/>
  <c r="C30" i="31"/>
  <c r="C31" i="31"/>
  <c r="I40" i="31" s="1"/>
  <c r="C29" i="31"/>
  <c r="C50" i="31"/>
  <c r="C51" i="31"/>
  <c r="J64" i="31" s="1"/>
  <c r="C49" i="31"/>
  <c r="C70" i="31"/>
  <c r="N75" i="31" s="1"/>
  <c r="N61" i="39" s="1"/>
  <c r="C71" i="31"/>
  <c r="L84" i="31" s="1"/>
  <c r="C69" i="31"/>
  <c r="C90" i="31"/>
  <c r="C91" i="31"/>
  <c r="M103" i="31" s="1"/>
  <c r="C89" i="31"/>
  <c r="L96" i="31" s="1"/>
  <c r="D42" i="2"/>
  <c r="C8" i="36" s="1"/>
  <c r="D8" i="36" s="1"/>
  <c r="AB26" i="38"/>
  <c r="AB24" i="38"/>
  <c r="C109" i="31"/>
  <c r="C110" i="31"/>
  <c r="C111" i="31"/>
  <c r="C112" i="31"/>
  <c r="C113" i="31"/>
  <c r="C114" i="31"/>
  <c r="B109" i="31"/>
  <c r="B110" i="31"/>
  <c r="B111" i="31"/>
  <c r="B112" i="31"/>
  <c r="B113" i="31"/>
  <c r="B114" i="31"/>
  <c r="D34" i="24"/>
  <c r="D33" i="24"/>
  <c r="P33" i="24" s="1"/>
  <c r="E22" i="5" s="1"/>
  <c r="D32" i="24"/>
  <c r="P32" i="24" s="1"/>
  <c r="D31" i="24"/>
  <c r="P31" i="24" s="1"/>
  <c r="E20" i="5" s="1"/>
  <c r="D30" i="24"/>
  <c r="P30" i="24" s="1"/>
  <c r="F19" i="5" s="1"/>
  <c r="D29" i="24"/>
  <c r="P29" i="24" s="1"/>
  <c r="D41" i="39"/>
  <c r="E41" i="39"/>
  <c r="F41" i="39"/>
  <c r="G41" i="39"/>
  <c r="H41" i="39"/>
  <c r="O41" i="39" s="1"/>
  <c r="I41" i="39"/>
  <c r="J41" i="39"/>
  <c r="K41" i="39"/>
  <c r="L41" i="39"/>
  <c r="M41" i="39"/>
  <c r="N41" i="39"/>
  <c r="C41" i="39"/>
  <c r="C52" i="2"/>
  <c r="C36" i="39"/>
  <c r="D36" i="39"/>
  <c r="E36" i="39"/>
  <c r="F36" i="39"/>
  <c r="G36" i="39"/>
  <c r="H36" i="39"/>
  <c r="I36" i="39"/>
  <c r="J36" i="39"/>
  <c r="K36" i="39"/>
  <c r="L36" i="39"/>
  <c r="M36" i="39"/>
  <c r="N36" i="39"/>
  <c r="C37" i="39"/>
  <c r="D37" i="39"/>
  <c r="E37" i="39"/>
  <c r="F37" i="39"/>
  <c r="G37" i="39"/>
  <c r="H37" i="39"/>
  <c r="I37" i="39"/>
  <c r="J37" i="39"/>
  <c r="K37" i="39"/>
  <c r="L37" i="39"/>
  <c r="M37" i="39"/>
  <c r="N37" i="39"/>
  <c r="C38" i="39"/>
  <c r="D38" i="39"/>
  <c r="E38" i="39"/>
  <c r="F38" i="39"/>
  <c r="G38" i="39"/>
  <c r="H38" i="39"/>
  <c r="I38" i="39"/>
  <c r="J38" i="39"/>
  <c r="K38" i="39"/>
  <c r="L38" i="39"/>
  <c r="M38" i="39"/>
  <c r="N38" i="39"/>
  <c r="C39" i="39"/>
  <c r="D39" i="39"/>
  <c r="E39" i="39"/>
  <c r="F39" i="39"/>
  <c r="G39" i="39"/>
  <c r="H39" i="39"/>
  <c r="I39" i="39"/>
  <c r="J39" i="39"/>
  <c r="K39" i="39"/>
  <c r="L39" i="39"/>
  <c r="M39" i="39"/>
  <c r="N39" i="39"/>
  <c r="C40" i="39"/>
  <c r="D40" i="39"/>
  <c r="E40" i="39"/>
  <c r="F40" i="39"/>
  <c r="G40" i="39"/>
  <c r="H40" i="39"/>
  <c r="I40" i="39"/>
  <c r="J40" i="39"/>
  <c r="K40" i="39"/>
  <c r="L40" i="39"/>
  <c r="M40" i="39"/>
  <c r="N40" i="39"/>
  <c r="C42" i="39"/>
  <c r="D42" i="39"/>
  <c r="E42" i="39"/>
  <c r="F42" i="39"/>
  <c r="G42" i="39"/>
  <c r="H42" i="39"/>
  <c r="I42" i="39"/>
  <c r="J42" i="39"/>
  <c r="K42" i="39"/>
  <c r="L42" i="39"/>
  <c r="M42" i="39"/>
  <c r="N42" i="39"/>
  <c r="C43" i="39"/>
  <c r="D43" i="39"/>
  <c r="E43" i="39"/>
  <c r="F43" i="39"/>
  <c r="G43" i="39"/>
  <c r="H43" i="39"/>
  <c r="I43" i="39"/>
  <c r="J43" i="39"/>
  <c r="K43" i="39"/>
  <c r="L43" i="39"/>
  <c r="M43" i="39"/>
  <c r="N43" i="39"/>
  <c r="C44" i="39"/>
  <c r="D44" i="39"/>
  <c r="E44" i="39"/>
  <c r="F44" i="39"/>
  <c r="G44" i="39"/>
  <c r="H44" i="39"/>
  <c r="I44" i="39"/>
  <c r="J44" i="39"/>
  <c r="K44" i="39"/>
  <c r="L44" i="39"/>
  <c r="M44" i="39"/>
  <c r="N44" i="39"/>
  <c r="C45" i="39"/>
  <c r="D45" i="39"/>
  <c r="E45" i="39"/>
  <c r="F45" i="39"/>
  <c r="G45" i="39"/>
  <c r="H45" i="39"/>
  <c r="I45" i="39"/>
  <c r="J45" i="39"/>
  <c r="K45" i="39"/>
  <c r="L45" i="39"/>
  <c r="M45" i="39"/>
  <c r="N45" i="39"/>
  <c r="C46" i="39"/>
  <c r="D46" i="39"/>
  <c r="E46" i="39"/>
  <c r="F46" i="39"/>
  <c r="G46" i="39"/>
  <c r="H46" i="39"/>
  <c r="I46" i="39"/>
  <c r="J46" i="39"/>
  <c r="K46" i="39"/>
  <c r="L46" i="39"/>
  <c r="M46" i="39"/>
  <c r="N46" i="39"/>
  <c r="C47" i="39"/>
  <c r="D47" i="39"/>
  <c r="E47" i="39"/>
  <c r="F47" i="39"/>
  <c r="G47" i="39"/>
  <c r="H47" i="39"/>
  <c r="I47" i="39"/>
  <c r="J47" i="39"/>
  <c r="K47" i="39"/>
  <c r="L47" i="39"/>
  <c r="M47" i="39"/>
  <c r="N47" i="39"/>
  <c r="C48" i="39"/>
  <c r="D48" i="39"/>
  <c r="E48" i="39"/>
  <c r="F48" i="39"/>
  <c r="G48" i="39"/>
  <c r="H48" i="39"/>
  <c r="I48" i="39"/>
  <c r="J48" i="39"/>
  <c r="K48" i="39"/>
  <c r="L48" i="39"/>
  <c r="M48" i="39"/>
  <c r="N48" i="39"/>
  <c r="D35" i="39"/>
  <c r="E35" i="39"/>
  <c r="F35" i="39"/>
  <c r="G35" i="39"/>
  <c r="H35" i="39"/>
  <c r="I35" i="39"/>
  <c r="J35" i="39"/>
  <c r="K35" i="39"/>
  <c r="L35" i="39"/>
  <c r="M35" i="39"/>
  <c r="N35" i="39"/>
  <c r="C35" i="39"/>
  <c r="O7" i="39"/>
  <c r="O24" i="38"/>
  <c r="C26" i="39"/>
  <c r="O26" i="39" s="1"/>
  <c r="C25" i="39"/>
  <c r="O25" i="39" s="1"/>
  <c r="G8" i="37"/>
  <c r="E8" i="37"/>
  <c r="C15" i="36"/>
  <c r="D15" i="36" s="1"/>
  <c r="C14" i="36"/>
  <c r="D14" i="36" s="1"/>
  <c r="C13" i="36"/>
  <c r="D13" i="36" s="1"/>
  <c r="C12" i="36"/>
  <c r="D12" i="36" s="1"/>
  <c r="B12" i="21"/>
  <c r="B18" i="21"/>
  <c r="B24" i="21"/>
  <c r="B30" i="21"/>
  <c r="B36" i="21"/>
  <c r="B42" i="21"/>
  <c r="O10" i="22"/>
  <c r="C8" i="7" s="1"/>
  <c r="E8" i="7" s="1"/>
  <c r="O11" i="22"/>
  <c r="C9" i="7" s="1"/>
  <c r="O12" i="22"/>
  <c r="C10" i="7" s="1"/>
  <c r="O13" i="22"/>
  <c r="C11" i="7" s="1"/>
  <c r="O14" i="22"/>
  <c r="C12" i="7" s="1"/>
  <c r="E12" i="7" s="1"/>
  <c r="O15" i="22"/>
  <c r="C13" i="7" s="1"/>
  <c r="O17" i="22"/>
  <c r="C15" i="7" s="1"/>
  <c r="O18" i="22"/>
  <c r="C16" i="7" s="1"/>
  <c r="O19" i="22"/>
  <c r="C17" i="7" s="1"/>
  <c r="O20" i="22"/>
  <c r="C18" i="7" s="1"/>
  <c r="O21" i="22"/>
  <c r="C19" i="7" s="1"/>
  <c r="C45" i="6" s="1"/>
  <c r="F7" i="5"/>
  <c r="E7" i="5"/>
  <c r="D7" i="5"/>
  <c r="G7" i="6"/>
  <c r="E7" i="6"/>
  <c r="C7" i="6"/>
  <c r="G7" i="7"/>
  <c r="E7" i="7"/>
  <c r="C7" i="7"/>
  <c r="R14" i="28"/>
  <c r="C12" i="28"/>
  <c r="E11" i="28"/>
  <c r="F11" i="28" s="1"/>
  <c r="D12" i="28"/>
  <c r="C16" i="2"/>
  <c r="C30" i="2"/>
  <c r="C132" i="31" s="1"/>
  <c r="C133" i="31" s="1"/>
  <c r="G38" i="2"/>
  <c r="G39" i="2"/>
  <c r="G40" i="2"/>
  <c r="G41" i="2"/>
  <c r="G37" i="2"/>
  <c r="G42" i="2" s="1"/>
  <c r="O25" i="25"/>
  <c r="B24" i="38" s="1"/>
  <c r="C23" i="28"/>
  <c r="C25" i="22"/>
  <c r="C20" i="25" s="1"/>
  <c r="D25" i="22"/>
  <c r="D20" i="25" s="1"/>
  <c r="E25" i="22"/>
  <c r="E20" i="25" s="1"/>
  <c r="F25" i="22"/>
  <c r="F20" i="25" s="1"/>
  <c r="G25" i="22"/>
  <c r="G20" i="25"/>
  <c r="H25" i="22"/>
  <c r="H20" i="25" s="1"/>
  <c r="I25" i="22"/>
  <c r="I20" i="25" s="1"/>
  <c r="J25" i="22"/>
  <c r="J20" i="25" s="1"/>
  <c r="K25" i="22"/>
  <c r="K20" i="25" s="1"/>
  <c r="L25" i="22"/>
  <c r="L20" i="25" s="1"/>
  <c r="M25" i="22"/>
  <c r="M20" i="25" s="1"/>
  <c r="N25" i="22"/>
  <c r="N20" i="25" s="1"/>
  <c r="C40" i="6"/>
  <c r="C14" i="39"/>
  <c r="O14" i="39" s="1"/>
  <c r="B44" i="21"/>
  <c r="C25" i="6" s="1"/>
  <c r="N83" i="31"/>
  <c r="E83" i="31"/>
  <c r="H79" i="31"/>
  <c r="L83" i="31"/>
  <c r="E84" i="31"/>
  <c r="H80" i="31"/>
  <c r="E43" i="31"/>
  <c r="G44" i="31"/>
  <c r="L40" i="31"/>
  <c r="N103" i="31"/>
  <c r="H103" i="31"/>
  <c r="F103" i="31"/>
  <c r="L99" i="31"/>
  <c r="J99" i="31"/>
  <c r="D99" i="31"/>
  <c r="N104" i="31"/>
  <c r="H104" i="31"/>
  <c r="F104" i="31"/>
  <c r="L100" i="31"/>
  <c r="J100" i="31"/>
  <c r="D100" i="31"/>
  <c r="L64" i="31"/>
  <c r="H60" i="31"/>
  <c r="D60" i="31"/>
  <c r="I63" i="31"/>
  <c r="I59" i="31"/>
  <c r="N59" i="31"/>
  <c r="H59" i="31"/>
  <c r="G63" i="31"/>
  <c r="L15" i="38"/>
  <c r="K24" i="31"/>
  <c r="I24" i="31"/>
  <c r="G23" i="31"/>
  <c r="E23" i="31"/>
  <c r="C20" i="31"/>
  <c r="M19" i="31"/>
  <c r="L24" i="31"/>
  <c r="J24" i="31"/>
  <c r="H23" i="31"/>
  <c r="F23" i="31"/>
  <c r="D20" i="31"/>
  <c r="N19" i="31"/>
  <c r="M16" i="31"/>
  <c r="K16" i="31"/>
  <c r="H15" i="31"/>
  <c r="H30" i="22" s="1"/>
  <c r="F15" i="31"/>
  <c r="F30" i="22" s="1"/>
  <c r="F16" i="31"/>
  <c r="D16" i="31"/>
  <c r="E15" i="28"/>
  <c r="L76" i="31"/>
  <c r="E21" i="5"/>
  <c r="N15" i="38"/>
  <c r="M15" i="38"/>
  <c r="K15" i="38"/>
  <c r="C76" i="31"/>
  <c r="C77" i="31" s="1"/>
  <c r="P15" i="38"/>
  <c r="B20" i="21"/>
  <c r="C21" i="6" s="1"/>
  <c r="B32" i="21"/>
  <c r="C23" i="6" s="1"/>
  <c r="C22" i="39"/>
  <c r="O22" i="39" s="1"/>
  <c r="C24" i="39"/>
  <c r="O24" i="39" s="1"/>
  <c r="J15" i="38"/>
  <c r="H15" i="38"/>
  <c r="F15" i="38"/>
  <c r="D15" i="38"/>
  <c r="I15" i="38"/>
  <c r="G15" i="38"/>
  <c r="E15" i="38"/>
  <c r="D96" i="31"/>
  <c r="M75" i="31"/>
  <c r="M61" i="39" s="1"/>
  <c r="C35" i="31"/>
  <c r="C59" i="39" s="1"/>
  <c r="O59" i="39" s="1"/>
  <c r="B43" i="21"/>
  <c r="C13" i="6" s="1"/>
  <c r="E22" i="28"/>
  <c r="F22" i="28" s="1"/>
  <c r="G22" i="28" s="1"/>
  <c r="H22" i="28" s="1"/>
  <c r="I22" i="28" s="1"/>
  <c r="J22" i="28" s="1"/>
  <c r="K22" i="28" s="1"/>
  <c r="L22" i="28" s="1"/>
  <c r="M22" i="28" s="1"/>
  <c r="N22" i="28" s="1"/>
  <c r="O22" i="28" s="1"/>
  <c r="P22" i="28" s="1"/>
  <c r="Q22" i="28" s="1"/>
  <c r="F9" i="28"/>
  <c r="G9" i="28" s="1"/>
  <c r="H9" i="28" s="1"/>
  <c r="I9" i="28" s="1"/>
  <c r="J9" i="28" s="1"/>
  <c r="K9" i="28" s="1"/>
  <c r="L9" i="28" s="1"/>
  <c r="M9" i="28" s="1"/>
  <c r="N9" i="28" s="1"/>
  <c r="O9" i="28" s="1"/>
  <c r="E17" i="7"/>
  <c r="E43" i="6" s="1"/>
  <c r="C43" i="6"/>
  <c r="E10" i="7"/>
  <c r="C36" i="6"/>
  <c r="E19" i="7"/>
  <c r="G19" i="7" s="1"/>
  <c r="G45" i="6" s="1"/>
  <c r="B38" i="21"/>
  <c r="C24" i="6" s="1"/>
  <c r="B14" i="21"/>
  <c r="C20" i="6" s="1"/>
  <c r="C30" i="6" s="1"/>
  <c r="C26" i="27" s="1"/>
  <c r="G56" i="31"/>
  <c r="C18" i="25"/>
  <c r="C29" i="25" s="1"/>
  <c r="O29" i="25" s="1"/>
  <c r="B28" i="38" s="1"/>
  <c r="B70" i="21"/>
  <c r="B45" i="21"/>
  <c r="E31" i="7"/>
  <c r="E60" i="6" s="1"/>
  <c r="B33" i="21"/>
  <c r="D18" i="25"/>
  <c r="D29" i="25" s="1"/>
  <c r="B21" i="21"/>
  <c r="G147" i="31"/>
  <c r="H18" i="25"/>
  <c r="J18" i="25"/>
  <c r="K18" i="25"/>
  <c r="K29" i="25" s="1"/>
  <c r="N18" i="25"/>
  <c r="L18" i="25"/>
  <c r="I18" i="25"/>
  <c r="I29" i="25" s="1"/>
  <c r="F18" i="25"/>
  <c r="F29" i="25" s="1"/>
  <c r="G18" i="25"/>
  <c r="G29" i="25" s="1"/>
  <c r="E18" i="25"/>
  <c r="M18" i="25"/>
  <c r="M29" i="25" s="1"/>
  <c r="G29" i="7"/>
  <c r="G58" i="6" s="1"/>
  <c r="G28" i="7"/>
  <c r="G57" i="6" s="1"/>
  <c r="G10" i="7"/>
  <c r="G36" i="6" s="1"/>
  <c r="E36" i="6"/>
  <c r="G17" i="7"/>
  <c r="G43" i="6" s="1"/>
  <c r="C115" i="31"/>
  <c r="G6" i="38"/>
  <c r="T6" i="38" s="1"/>
  <c r="G73" i="31"/>
  <c r="G7" i="25"/>
  <c r="J14" i="28"/>
  <c r="G13" i="31"/>
  <c r="B27" i="21"/>
  <c r="B39" i="21"/>
  <c r="B72" i="21"/>
  <c r="B15" i="21"/>
  <c r="G32" i="7"/>
  <c r="G61" i="6" s="1"/>
  <c r="E29" i="7"/>
  <c r="E58" i="6" s="1"/>
  <c r="E28" i="7"/>
  <c r="E57" i="6" s="1"/>
  <c r="G31" i="7"/>
  <c r="G60" i="6" s="1"/>
  <c r="E30" i="7"/>
  <c r="E59" i="6" s="1"/>
  <c r="N28" i="24"/>
  <c r="E32" i="7"/>
  <c r="E61" i="6" s="1"/>
  <c r="G30" i="7"/>
  <c r="G59" i="6" s="1"/>
  <c r="B73" i="21"/>
  <c r="F20" i="5" l="1"/>
  <c r="E11" i="5"/>
  <c r="C27" i="27"/>
  <c r="I80" i="31"/>
  <c r="F84" i="31"/>
  <c r="D41" i="5"/>
  <c r="E41" i="5" s="1"/>
  <c r="F41" i="5" s="1"/>
  <c r="N24" i="31"/>
  <c r="J80" i="31"/>
  <c r="G84" i="31"/>
  <c r="K75" i="31"/>
  <c r="V15" i="38"/>
  <c r="J15" i="31"/>
  <c r="J58" i="39" s="1"/>
  <c r="J23" i="31"/>
  <c r="I23" i="31"/>
  <c r="N84" i="31"/>
  <c r="I75" i="31"/>
  <c r="I33" i="22" s="1"/>
  <c r="G76" i="31"/>
  <c r="W15" i="38"/>
  <c r="E15" i="31"/>
  <c r="E30" i="22" s="1"/>
  <c r="J16" i="31"/>
  <c r="L15" i="31"/>
  <c r="L30" i="22" s="1"/>
  <c r="D19" i="31"/>
  <c r="H20" i="31"/>
  <c r="L23" i="31"/>
  <c r="C19" i="31"/>
  <c r="G20" i="31"/>
  <c r="K23" i="31"/>
  <c r="C80" i="31"/>
  <c r="K80" i="31"/>
  <c r="G83" i="31"/>
  <c r="C79" i="31"/>
  <c r="K79" i="31"/>
  <c r="H84" i="31"/>
  <c r="J75" i="31"/>
  <c r="J61" i="39" s="1"/>
  <c r="C16" i="31"/>
  <c r="C17" i="31" s="1"/>
  <c r="D17" i="31" s="1"/>
  <c r="E17" i="31" s="1"/>
  <c r="F17" i="31" s="1"/>
  <c r="G17" i="31" s="1"/>
  <c r="H17" i="31" s="1"/>
  <c r="I17" i="31" s="1"/>
  <c r="J17" i="31" s="1"/>
  <c r="K17" i="31" s="1"/>
  <c r="L17" i="31" s="1"/>
  <c r="M17" i="31" s="1"/>
  <c r="N17" i="31" s="1"/>
  <c r="C21" i="31" s="1"/>
  <c r="D21" i="31" s="1"/>
  <c r="E21" i="31" s="1"/>
  <c r="F21" i="31" s="1"/>
  <c r="G21" i="31" s="1"/>
  <c r="H21" i="31" s="1"/>
  <c r="M24" i="31"/>
  <c r="G75" i="31"/>
  <c r="F76" i="31"/>
  <c r="O15" i="38"/>
  <c r="T15" i="38"/>
  <c r="AA15" i="38"/>
  <c r="G15" i="31"/>
  <c r="G30" i="22" s="1"/>
  <c r="L16" i="31"/>
  <c r="N15" i="31"/>
  <c r="F19" i="31"/>
  <c r="J20" i="31"/>
  <c r="N23" i="31"/>
  <c r="O23" i="31" s="1"/>
  <c r="E19" i="31"/>
  <c r="I20" i="31"/>
  <c r="M23" i="31"/>
  <c r="D80" i="31"/>
  <c r="L80" i="31"/>
  <c r="H83" i="31"/>
  <c r="D79" i="31"/>
  <c r="L79" i="31"/>
  <c r="I84" i="31"/>
  <c r="U15" i="38"/>
  <c r="AB15" i="38" s="1"/>
  <c r="K76" i="31"/>
  <c r="J76" i="31"/>
  <c r="H16" i="31"/>
  <c r="F20" i="31"/>
  <c r="E20" i="31"/>
  <c r="F83" i="31"/>
  <c r="J79" i="31"/>
  <c r="C31" i="22"/>
  <c r="O31" i="22" s="1"/>
  <c r="C29" i="7" s="1"/>
  <c r="C58" i="6" s="1"/>
  <c r="F75" i="31"/>
  <c r="F61" i="39" s="1"/>
  <c r="E76" i="31"/>
  <c r="Z15" i="38"/>
  <c r="C72" i="31"/>
  <c r="I15" i="31"/>
  <c r="I30" i="22" s="1"/>
  <c r="N16" i="31"/>
  <c r="E16" i="31"/>
  <c r="H19" i="31"/>
  <c r="L20" i="31"/>
  <c r="D24" i="31"/>
  <c r="G19" i="31"/>
  <c r="K20" i="31"/>
  <c r="C24" i="31"/>
  <c r="E80" i="31"/>
  <c r="M80" i="31"/>
  <c r="I83" i="31"/>
  <c r="O83" i="31" s="1"/>
  <c r="E79" i="31"/>
  <c r="N79" i="31"/>
  <c r="J84" i="31"/>
  <c r="X15" i="38"/>
  <c r="S15" i="38"/>
  <c r="M83" i="31"/>
  <c r="D20" i="5"/>
  <c r="C75" i="31"/>
  <c r="C61" i="39" s="1"/>
  <c r="O61" i="39" s="1"/>
  <c r="K15" i="31"/>
  <c r="C15" i="31"/>
  <c r="C30" i="22" s="1"/>
  <c r="G16" i="31"/>
  <c r="J19" i="31"/>
  <c r="N20" i="31"/>
  <c r="F24" i="31"/>
  <c r="O24" i="31" s="1"/>
  <c r="I19" i="31"/>
  <c r="M20" i="31"/>
  <c r="E24" i="31"/>
  <c r="F80" i="31"/>
  <c r="N80" i="31"/>
  <c r="J83" i="31"/>
  <c r="F79" i="31"/>
  <c r="C84" i="31"/>
  <c r="K84" i="31"/>
  <c r="M79" i="31"/>
  <c r="D84" i="31"/>
  <c r="I79" i="31"/>
  <c r="C38" i="6"/>
  <c r="Y15" i="38"/>
  <c r="C48" i="6"/>
  <c r="C31" i="2"/>
  <c r="C37" i="2" s="1"/>
  <c r="Q15" i="38"/>
  <c r="M15" i="31"/>
  <c r="M58" i="39" s="1"/>
  <c r="D15" i="31"/>
  <c r="D58" i="39" s="1"/>
  <c r="I16" i="31"/>
  <c r="L19" i="31"/>
  <c r="D23" i="31"/>
  <c r="H24" i="31"/>
  <c r="K19" i="31"/>
  <c r="C23" i="31"/>
  <c r="G80" i="31"/>
  <c r="C83" i="31"/>
  <c r="K83" i="31"/>
  <c r="G79" i="31"/>
  <c r="D83" i="31"/>
  <c r="M76" i="31"/>
  <c r="H75" i="31"/>
  <c r="H61" i="39" s="1"/>
  <c r="L75" i="31"/>
  <c r="L33" i="22" s="1"/>
  <c r="D76" i="31"/>
  <c r="D77" i="31" s="1"/>
  <c r="E77" i="31" s="1"/>
  <c r="F77" i="31" s="1"/>
  <c r="G77" i="31" s="1"/>
  <c r="H77" i="31" s="1"/>
  <c r="I77" i="31" s="1"/>
  <c r="M84" i="31"/>
  <c r="N76" i="31"/>
  <c r="G58" i="39"/>
  <c r="E75" i="31"/>
  <c r="E33" i="22" s="1"/>
  <c r="I76" i="31"/>
  <c r="D75" i="31"/>
  <c r="H76" i="31"/>
  <c r="H96" i="31"/>
  <c r="K31" i="21"/>
  <c r="Z31" i="21" s="1"/>
  <c r="Z33" i="21" s="1"/>
  <c r="D12" i="39"/>
  <c r="J34" i="1"/>
  <c r="N7" i="28" s="1"/>
  <c r="K7" i="39" s="1"/>
  <c r="H58" i="39"/>
  <c r="I61" i="39"/>
  <c r="F22" i="5"/>
  <c r="E60" i="31"/>
  <c r="D34" i="1"/>
  <c r="H7" i="28" s="1"/>
  <c r="E19" i="28"/>
  <c r="F19" i="28" s="1"/>
  <c r="G19" i="28" s="1"/>
  <c r="H19" i="28" s="1"/>
  <c r="I19" i="28" s="1"/>
  <c r="O25" i="22"/>
  <c r="E45" i="6"/>
  <c r="C42" i="2"/>
  <c r="I52" i="39"/>
  <c r="O39" i="39"/>
  <c r="E58" i="39"/>
  <c r="I34" i="1"/>
  <c r="M7" i="28" s="1"/>
  <c r="J10" i="21" s="1"/>
  <c r="G52" i="39"/>
  <c r="J52" i="39"/>
  <c r="E52" i="39"/>
  <c r="G36" i="31"/>
  <c r="O45" i="39"/>
  <c r="M52" i="39"/>
  <c r="E28" i="24"/>
  <c r="D7" i="39"/>
  <c r="D8" i="22"/>
  <c r="D10" i="21"/>
  <c r="G8" i="7"/>
  <c r="G34" i="6" s="1"/>
  <c r="E34" i="6"/>
  <c r="E40" i="6"/>
  <c r="G14" i="7"/>
  <c r="G40" i="6" s="1"/>
  <c r="E38" i="6"/>
  <c r="G12" i="7"/>
  <c r="G38" i="6" s="1"/>
  <c r="G7" i="39"/>
  <c r="H28" i="24"/>
  <c r="G8" i="22"/>
  <c r="M7" i="39"/>
  <c r="E29" i="25"/>
  <c r="C36" i="31"/>
  <c r="C37" i="31" s="1"/>
  <c r="D22" i="5"/>
  <c r="E16" i="28"/>
  <c r="M63" i="31"/>
  <c r="L59" i="31"/>
  <c r="M59" i="31"/>
  <c r="F60" i="31"/>
  <c r="C100" i="31"/>
  <c r="K100" i="31"/>
  <c r="G104" i="31"/>
  <c r="C99" i="31"/>
  <c r="K99" i="31"/>
  <c r="G103" i="31"/>
  <c r="H39" i="31"/>
  <c r="K43" i="31"/>
  <c r="F10" i="28"/>
  <c r="F12" i="28" s="1"/>
  <c r="L95" i="31"/>
  <c r="T10" i="21"/>
  <c r="H34" i="1"/>
  <c r="L7" i="28" s="1"/>
  <c r="I7" i="39" s="1"/>
  <c r="J29" i="25"/>
  <c r="K36" i="31"/>
  <c r="E47" i="6"/>
  <c r="M60" i="31"/>
  <c r="L60" i="31"/>
  <c r="I104" i="31"/>
  <c r="I103" i="31"/>
  <c r="D28" i="24"/>
  <c r="L56" i="31"/>
  <c r="E12" i="28"/>
  <c r="E64" i="31"/>
  <c r="H63" i="31"/>
  <c r="C60" i="31"/>
  <c r="N60" i="31"/>
  <c r="F100" i="31"/>
  <c r="N100" i="31"/>
  <c r="J104" i="31"/>
  <c r="F99" i="31"/>
  <c r="N99" i="31"/>
  <c r="J103" i="31"/>
  <c r="L44" i="31"/>
  <c r="E21" i="28"/>
  <c r="F21" i="28" s="1"/>
  <c r="G21" i="28" s="1"/>
  <c r="H21" i="28" s="1"/>
  <c r="I21" i="28" s="1"/>
  <c r="J21" i="28" s="1"/>
  <c r="K21" i="28" s="1"/>
  <c r="L21" i="28" s="1"/>
  <c r="M21" i="28" s="1"/>
  <c r="N21" i="28" s="1"/>
  <c r="O21" i="28" s="1"/>
  <c r="P21" i="28" s="1"/>
  <c r="Q21" i="28" s="1"/>
  <c r="D63" i="31"/>
  <c r="E100" i="31"/>
  <c r="E99" i="31"/>
  <c r="D43" i="2"/>
  <c r="E43" i="2" s="1"/>
  <c r="F58" i="39"/>
  <c r="D56" i="31"/>
  <c r="C59" i="31"/>
  <c r="I64" i="31"/>
  <c r="J63" i="31"/>
  <c r="K60" i="31"/>
  <c r="D64" i="31"/>
  <c r="G100" i="31"/>
  <c r="C104" i="31"/>
  <c r="K104" i="31"/>
  <c r="G99" i="31"/>
  <c r="C103" i="31"/>
  <c r="K103" i="31"/>
  <c r="D40" i="31"/>
  <c r="C47" i="6"/>
  <c r="E17" i="28"/>
  <c r="F17" i="28" s="1"/>
  <c r="G17" i="28" s="1"/>
  <c r="H17" i="28" s="1"/>
  <c r="I17" i="28" s="1"/>
  <c r="J17" i="28" s="1"/>
  <c r="K17" i="28" s="1"/>
  <c r="L17" i="28" s="1"/>
  <c r="M17" i="28" s="1"/>
  <c r="N17" i="28" s="1"/>
  <c r="O17" i="28" s="1"/>
  <c r="P17" i="28" s="1"/>
  <c r="Q17" i="28" s="1"/>
  <c r="C7" i="39"/>
  <c r="I55" i="31"/>
  <c r="I60" i="39" s="1"/>
  <c r="C34" i="6"/>
  <c r="E20" i="28"/>
  <c r="F20" i="28" s="1"/>
  <c r="G20" i="28" s="1"/>
  <c r="H20" i="28" s="1"/>
  <c r="I20" i="28" s="1"/>
  <c r="J20" i="28" s="1"/>
  <c r="K20" i="28" s="1"/>
  <c r="L20" i="28" s="1"/>
  <c r="M20" i="28" s="1"/>
  <c r="N20" i="28" s="1"/>
  <c r="O20" i="28" s="1"/>
  <c r="P20" i="28" s="1"/>
  <c r="Q20" i="28" s="1"/>
  <c r="L35" i="31"/>
  <c r="L31" i="22" s="1"/>
  <c r="G59" i="31"/>
  <c r="D59" i="31"/>
  <c r="L63" i="31"/>
  <c r="C64" i="31"/>
  <c r="H64" i="31"/>
  <c r="H100" i="31"/>
  <c r="D104" i="31"/>
  <c r="L104" i="31"/>
  <c r="H99" i="31"/>
  <c r="D103" i="31"/>
  <c r="L103" i="31"/>
  <c r="K39" i="31"/>
  <c r="K52" i="39"/>
  <c r="G34" i="1"/>
  <c r="K7" i="28" s="1"/>
  <c r="K63" i="31"/>
  <c r="M100" i="31"/>
  <c r="M99" i="31"/>
  <c r="O35" i="31"/>
  <c r="N55" i="31"/>
  <c r="N32" i="22" s="1"/>
  <c r="K59" i="31"/>
  <c r="F59" i="31"/>
  <c r="E59" i="31"/>
  <c r="G64" i="31"/>
  <c r="I100" i="31"/>
  <c r="E104" i="31"/>
  <c r="M104" i="31"/>
  <c r="I99" i="31"/>
  <c r="E103" i="31"/>
  <c r="K34" i="1"/>
  <c r="O7" i="28" s="1"/>
  <c r="AA10" i="21" s="1"/>
  <c r="D25" i="21"/>
  <c r="S25" i="21" s="1"/>
  <c r="B62" i="29"/>
  <c r="B38" i="29"/>
  <c r="B50" i="29"/>
  <c r="O21" i="39"/>
  <c r="F11" i="5"/>
  <c r="E27" i="27" s="1"/>
  <c r="D27" i="27"/>
  <c r="D30" i="22"/>
  <c r="M33" i="22"/>
  <c r="G95" i="31"/>
  <c r="G62" i="39" s="1"/>
  <c r="I58" i="39"/>
  <c r="N33" i="22"/>
  <c r="O36" i="31"/>
  <c r="E61" i="39"/>
  <c r="K12" i="39"/>
  <c r="L59" i="39"/>
  <c r="K95" i="31"/>
  <c r="C92" i="31"/>
  <c r="H33" i="22"/>
  <c r="L61" i="39"/>
  <c r="O76" i="31"/>
  <c r="O43" i="21"/>
  <c r="P45" i="21" s="1"/>
  <c r="A29" i="21"/>
  <c r="B24" i="6"/>
  <c r="B12" i="6"/>
  <c r="B11" i="39"/>
  <c r="K15" i="39"/>
  <c r="M73" i="17"/>
  <c r="J55" i="21"/>
  <c r="Y55" i="21" s="1"/>
  <c r="Y57" i="21" s="1"/>
  <c r="C16" i="39"/>
  <c r="F55" i="21"/>
  <c r="U55" i="21" s="1"/>
  <c r="U57" i="21" s="1"/>
  <c r="B21" i="39"/>
  <c r="B25" i="39"/>
  <c r="B11" i="6"/>
  <c r="B12" i="39"/>
  <c r="A17" i="21"/>
  <c r="B9" i="39"/>
  <c r="D73" i="17"/>
  <c r="H52" i="17"/>
  <c r="B20" i="6"/>
  <c r="A11" i="21"/>
  <c r="N38" i="17"/>
  <c r="E16" i="7"/>
  <c r="C42" i="6"/>
  <c r="E18" i="5"/>
  <c r="D18" i="5"/>
  <c r="F18" i="5"/>
  <c r="G11" i="28"/>
  <c r="H11" i="28" s="1"/>
  <c r="I11" i="28" s="1"/>
  <c r="J11" i="28" s="1"/>
  <c r="K11" i="28" s="1"/>
  <c r="L11" i="28" s="1"/>
  <c r="M11" i="28" s="1"/>
  <c r="N11" i="28" s="1"/>
  <c r="O11" i="28" s="1"/>
  <c r="P11" i="28" s="1"/>
  <c r="Q11" i="28" s="1"/>
  <c r="R11" i="28" s="1"/>
  <c r="C12" i="37" s="1"/>
  <c r="E12" i="37" s="1"/>
  <c r="G12" i="37" s="1"/>
  <c r="E18" i="7"/>
  <c r="C44" i="6"/>
  <c r="C39" i="6"/>
  <c r="E13" i="7"/>
  <c r="G28" i="24"/>
  <c r="F8" i="22"/>
  <c r="F7" i="39"/>
  <c r="C35" i="6"/>
  <c r="E9" i="7"/>
  <c r="M34" i="1"/>
  <c r="Q7" i="28" s="1"/>
  <c r="C12" i="31"/>
  <c r="D52" i="39"/>
  <c r="H52" i="39"/>
  <c r="L52" i="39"/>
  <c r="I80" i="17"/>
  <c r="O109" i="17"/>
  <c r="C110" i="17"/>
  <c r="L29" i="25"/>
  <c r="H29" i="25"/>
  <c r="O116" i="17"/>
  <c r="C117" i="17"/>
  <c r="K45" i="17"/>
  <c r="I61" i="21"/>
  <c r="X61" i="21" s="1"/>
  <c r="D17" i="39"/>
  <c r="I17" i="39"/>
  <c r="M52" i="17"/>
  <c r="H80" i="17"/>
  <c r="G80" i="17"/>
  <c r="E80" i="17"/>
  <c r="F7" i="25"/>
  <c r="F13" i="31"/>
  <c r="J80" i="17"/>
  <c r="L80" i="17"/>
  <c r="F33" i="31"/>
  <c r="F93" i="31"/>
  <c r="F136" i="31"/>
  <c r="F73" i="31"/>
  <c r="F115" i="31"/>
  <c r="C53" i="31"/>
  <c r="C147" i="31"/>
  <c r="F45" i="21"/>
  <c r="I55" i="21"/>
  <c r="X55" i="21" s="1"/>
  <c r="X57" i="21" s="1"/>
  <c r="G93" i="31"/>
  <c r="G33" i="31"/>
  <c r="C93" i="31"/>
  <c r="N45" i="21"/>
  <c r="E49" i="21"/>
  <c r="T49" i="21" s="1"/>
  <c r="T51" i="21" s="1"/>
  <c r="G61" i="21"/>
  <c r="V61" i="21" s="1"/>
  <c r="V63" i="21" s="1"/>
  <c r="I52" i="17"/>
  <c r="L38" i="17"/>
  <c r="K38" i="17"/>
  <c r="G115" i="31"/>
  <c r="G53" i="31"/>
  <c r="F14" i="28"/>
  <c r="C33" i="31"/>
  <c r="B10" i="39"/>
  <c r="L37" i="21"/>
  <c r="AA37" i="21" s="1"/>
  <c r="AA39" i="21" s="1"/>
  <c r="G17" i="39"/>
  <c r="J38" i="17"/>
  <c r="F45" i="17"/>
  <c r="E52" i="17"/>
  <c r="J59" i="17"/>
  <c r="I73" i="17"/>
  <c r="H73" i="17"/>
  <c r="J73" i="17"/>
  <c r="D80" i="17"/>
  <c r="F25" i="21"/>
  <c r="U25" i="21" s="1"/>
  <c r="J31" i="21"/>
  <c r="Y31" i="21" s="1"/>
  <c r="Y33" i="21" s="1"/>
  <c r="J15" i="39"/>
  <c r="M55" i="21"/>
  <c r="AB55" i="21" s="1"/>
  <c r="AB57" i="21" s="1"/>
  <c r="R50" i="21"/>
  <c r="AD50" i="21" s="1"/>
  <c r="G26" i="6" s="1"/>
  <c r="C121" i="17"/>
  <c r="O70" i="17"/>
  <c r="F11" i="39"/>
  <c r="H49" i="21"/>
  <c r="W49" i="21" s="1"/>
  <c r="C122" i="17"/>
  <c r="C15" i="39"/>
  <c r="C49" i="21"/>
  <c r="R49" i="21" s="1"/>
  <c r="F38" i="17"/>
  <c r="H38" i="17"/>
  <c r="N45" i="17"/>
  <c r="G45" i="17"/>
  <c r="J45" i="17"/>
  <c r="N52" i="17"/>
  <c r="I59" i="17"/>
  <c r="M80" i="17"/>
  <c r="K80" i="17"/>
  <c r="J122" i="17"/>
  <c r="E73" i="17"/>
  <c r="F73" i="17"/>
  <c r="L73" i="17"/>
  <c r="N73" i="17"/>
  <c r="N122" i="17"/>
  <c r="E59" i="17"/>
  <c r="F59" i="17"/>
  <c r="F122" i="17"/>
  <c r="H122" i="17"/>
  <c r="M122" i="17"/>
  <c r="M64" i="39" s="1"/>
  <c r="M36" i="22" s="1"/>
  <c r="L122" i="17"/>
  <c r="K122" i="17"/>
  <c r="I122" i="17"/>
  <c r="G122" i="17"/>
  <c r="E122" i="17"/>
  <c r="D122" i="17"/>
  <c r="D64" i="39" s="1"/>
  <c r="D36" i="22" s="1"/>
  <c r="O26" i="17"/>
  <c r="K73" i="17"/>
  <c r="N121" i="17"/>
  <c r="M121" i="17"/>
  <c r="K29" i="17"/>
  <c r="K121" i="17"/>
  <c r="F29" i="17"/>
  <c r="F121" i="17"/>
  <c r="L29" i="17"/>
  <c r="L121" i="17"/>
  <c r="G29" i="17"/>
  <c r="G121" i="17"/>
  <c r="D29" i="17"/>
  <c r="D121" i="17"/>
  <c r="I29" i="17"/>
  <c r="I121" i="17"/>
  <c r="H9" i="39"/>
  <c r="H121" i="17"/>
  <c r="J29" i="17"/>
  <c r="J121" i="17"/>
  <c r="E29" i="17"/>
  <c r="E121" i="17"/>
  <c r="O102" i="17"/>
  <c r="E38" i="17"/>
  <c r="N29" i="17"/>
  <c r="X45" i="21"/>
  <c r="T45" i="21"/>
  <c r="J19" i="21"/>
  <c r="Y19" i="21" s="1"/>
  <c r="Y21" i="21" s="1"/>
  <c r="C25" i="21"/>
  <c r="R25" i="21" s="1"/>
  <c r="G73" i="17"/>
  <c r="E31" i="21"/>
  <c r="T31" i="21" s="1"/>
  <c r="T33" i="21" s="1"/>
  <c r="J17" i="39"/>
  <c r="L52" i="17"/>
  <c r="C59" i="17"/>
  <c r="F80" i="17"/>
  <c r="O79" i="17"/>
  <c r="O72" i="17"/>
  <c r="C66" i="17"/>
  <c r="D59" i="17"/>
  <c r="O58" i="17"/>
  <c r="I45" i="17"/>
  <c r="H45" i="17"/>
  <c r="O44" i="17"/>
  <c r="E45" i="17"/>
  <c r="D45" i="17"/>
  <c r="O28" i="17"/>
  <c r="N29" i="25"/>
  <c r="J37" i="21"/>
  <c r="J39" i="21" s="1"/>
  <c r="P9" i="28"/>
  <c r="Q9" i="28" s="1"/>
  <c r="O20" i="25"/>
  <c r="B19" i="38" s="1"/>
  <c r="L10" i="21"/>
  <c r="L8" i="22"/>
  <c r="Y10" i="21"/>
  <c r="J8" i="22"/>
  <c r="R22" i="28"/>
  <c r="C23" i="37" s="1"/>
  <c r="E23" i="37" s="1"/>
  <c r="G23" i="37" s="1"/>
  <c r="J19" i="28"/>
  <c r="K19" i="28" s="1"/>
  <c r="L19" i="28" s="1"/>
  <c r="M19" i="28" s="1"/>
  <c r="N19" i="28" s="1"/>
  <c r="O19" i="28" s="1"/>
  <c r="P19" i="28" s="1"/>
  <c r="Q19" i="28" s="1"/>
  <c r="C34" i="2"/>
  <c r="C35" i="2"/>
  <c r="C40" i="2"/>
  <c r="C9" i="36"/>
  <c r="D9" i="36" s="1"/>
  <c r="C39" i="2"/>
  <c r="C41" i="2"/>
  <c r="C38" i="2"/>
  <c r="J7" i="39"/>
  <c r="L34" i="22"/>
  <c r="L62" i="39"/>
  <c r="E48" i="6"/>
  <c r="G22" i="7"/>
  <c r="G48" i="6" s="1"/>
  <c r="Z10" i="21"/>
  <c r="K10" i="21"/>
  <c r="K8" i="22"/>
  <c r="L7" i="39"/>
  <c r="H18" i="28"/>
  <c r="I18" i="28" s="1"/>
  <c r="J18" i="28" s="1"/>
  <c r="K18" i="28" s="1"/>
  <c r="L18" i="28" s="1"/>
  <c r="M18" i="28" s="1"/>
  <c r="N18" i="28" s="1"/>
  <c r="O18" i="28" s="1"/>
  <c r="P18" i="28" s="1"/>
  <c r="Q18" i="28" s="1"/>
  <c r="L28" i="24"/>
  <c r="E15" i="7"/>
  <c r="C41" i="6"/>
  <c r="E11" i="7"/>
  <c r="C37" i="6"/>
  <c r="O35" i="39"/>
  <c r="C52" i="39"/>
  <c r="O48" i="39"/>
  <c r="O47" i="39"/>
  <c r="O46" i="39"/>
  <c r="O44" i="39"/>
  <c r="O43" i="39"/>
  <c r="O42" i="39"/>
  <c r="O40" i="39"/>
  <c r="O38" i="39"/>
  <c r="O37" i="39"/>
  <c r="N52" i="39"/>
  <c r="F52" i="39"/>
  <c r="O36" i="39"/>
  <c r="P34" i="24"/>
  <c r="D35" i="24"/>
  <c r="J95" i="31"/>
  <c r="F95" i="31"/>
  <c r="E96" i="31"/>
  <c r="I96" i="31"/>
  <c r="M95" i="31"/>
  <c r="M96" i="31"/>
  <c r="I95" i="31"/>
  <c r="E95" i="31"/>
  <c r="F96" i="31"/>
  <c r="J96" i="31"/>
  <c r="N95" i="31"/>
  <c r="N96" i="31"/>
  <c r="H95" i="31"/>
  <c r="D95" i="31"/>
  <c r="G96" i="31"/>
  <c r="K96" i="31"/>
  <c r="C95" i="31"/>
  <c r="C34" i="22" s="1"/>
  <c r="O34" i="22" s="1"/>
  <c r="C32" i="7" s="1"/>
  <c r="C61" i="6" s="1"/>
  <c r="C96" i="31"/>
  <c r="M56" i="31"/>
  <c r="J55" i="31"/>
  <c r="C56" i="31"/>
  <c r="J56" i="31"/>
  <c r="G55" i="31"/>
  <c r="C55" i="31"/>
  <c r="I56" i="31"/>
  <c r="H55" i="31"/>
  <c r="E55" i="31"/>
  <c r="M55" i="31"/>
  <c r="M60" i="39" s="1"/>
  <c r="H56" i="31"/>
  <c r="D55" i="31"/>
  <c r="C52" i="31"/>
  <c r="L55" i="31"/>
  <c r="L32" i="22" s="1"/>
  <c r="F55" i="31"/>
  <c r="K56" i="31"/>
  <c r="F56" i="31"/>
  <c r="N56" i="31"/>
  <c r="K55" i="31"/>
  <c r="E56" i="31"/>
  <c r="N43" i="31"/>
  <c r="J43" i="31"/>
  <c r="F43" i="31"/>
  <c r="M40" i="31"/>
  <c r="E40" i="31"/>
  <c r="I39" i="31"/>
  <c r="H40" i="31"/>
  <c r="N44" i="31"/>
  <c r="J44" i="31"/>
  <c r="F44" i="31"/>
  <c r="N40" i="31"/>
  <c r="N39" i="31"/>
  <c r="I43" i="31"/>
  <c r="D43" i="31"/>
  <c r="G40" i="31"/>
  <c r="G39" i="31"/>
  <c r="J39" i="31"/>
  <c r="K44" i="31"/>
  <c r="E44" i="31"/>
  <c r="J40" i="31"/>
  <c r="D39" i="31"/>
  <c r="C32" i="31"/>
  <c r="J35" i="31"/>
  <c r="D36" i="31"/>
  <c r="D37" i="31" s="1"/>
  <c r="H36" i="31"/>
  <c r="L36" i="31"/>
  <c r="M43" i="31"/>
  <c r="H43" i="31"/>
  <c r="C43" i="31"/>
  <c r="C40" i="31"/>
  <c r="E39" i="31"/>
  <c r="F39" i="31"/>
  <c r="I44" i="31"/>
  <c r="D44" i="31"/>
  <c r="F40" i="31"/>
  <c r="G35" i="31"/>
  <c r="I35" i="31"/>
  <c r="H35" i="31"/>
  <c r="E36" i="31"/>
  <c r="I36" i="31"/>
  <c r="M35" i="31"/>
  <c r="M36" i="31"/>
  <c r="L43" i="31"/>
  <c r="G43" i="31"/>
  <c r="T23" i="38" s="1"/>
  <c r="K40" i="31"/>
  <c r="M39" i="31"/>
  <c r="C39" i="31"/>
  <c r="M44" i="31"/>
  <c r="H44" i="31"/>
  <c r="C44" i="31"/>
  <c r="L39" i="31"/>
  <c r="D35" i="31"/>
  <c r="D31" i="22" s="1"/>
  <c r="E35" i="31"/>
  <c r="F35" i="31"/>
  <c r="F36" i="31"/>
  <c r="J36" i="31"/>
  <c r="N35" i="31"/>
  <c r="N36" i="31"/>
  <c r="K61" i="39"/>
  <c r="K33" i="22"/>
  <c r="G61" i="39"/>
  <c r="G33" i="22"/>
  <c r="O16" i="25"/>
  <c r="B15" i="38" s="1"/>
  <c r="N60" i="39"/>
  <c r="G8" i="28"/>
  <c r="F16" i="28"/>
  <c r="E20" i="7"/>
  <c r="C19" i="38" s="1"/>
  <c r="C46" i="6"/>
  <c r="C56" i="39"/>
  <c r="D117" i="31"/>
  <c r="D119" i="31" s="1"/>
  <c r="C28" i="22"/>
  <c r="C23" i="7"/>
  <c r="N64" i="31"/>
  <c r="F64" i="31"/>
  <c r="J60" i="31"/>
  <c r="K64" i="31"/>
  <c r="G60" i="31"/>
  <c r="E63" i="31"/>
  <c r="N63" i="31"/>
  <c r="F63" i="31"/>
  <c r="J59" i="31"/>
  <c r="M64" i="31"/>
  <c r="I60" i="31"/>
  <c r="C63" i="31"/>
  <c r="K35" i="31"/>
  <c r="C10" i="21"/>
  <c r="R10" i="21"/>
  <c r="S10" i="21"/>
  <c r="M6" i="38"/>
  <c r="Z6" i="38" s="1"/>
  <c r="AB10" i="21"/>
  <c r="M10" i="21"/>
  <c r="AC10" i="21"/>
  <c r="N10" i="21"/>
  <c r="D13" i="5"/>
  <c r="E13" i="5" s="1"/>
  <c r="F13" i="5" s="1"/>
  <c r="D135" i="31"/>
  <c r="C149" i="31" s="1"/>
  <c r="R26" i="21"/>
  <c r="AD26" i="21" s="1"/>
  <c r="G22" i="6" s="1"/>
  <c r="O26" i="21"/>
  <c r="E22" i="6" s="1"/>
  <c r="G23" i="39"/>
  <c r="G26" i="21"/>
  <c r="V26" i="21" s="1"/>
  <c r="V10" i="21"/>
  <c r="G10" i="21"/>
  <c r="E10" i="21"/>
  <c r="U10" i="21"/>
  <c r="F10" i="21"/>
  <c r="O49" i="39"/>
  <c r="W10" i="21"/>
  <c r="R42" i="21"/>
  <c r="AD42" i="21" s="1"/>
  <c r="O42" i="21"/>
  <c r="F19" i="21"/>
  <c r="I25" i="21"/>
  <c r="X25" i="21" s="1"/>
  <c r="X27" i="21" s="1"/>
  <c r="N37" i="21"/>
  <c r="AC37" i="21" s="1"/>
  <c r="AC39" i="21" s="1"/>
  <c r="I11" i="39"/>
  <c r="K61" i="21"/>
  <c r="K63" i="21" s="1"/>
  <c r="L17" i="39"/>
  <c r="D9" i="39"/>
  <c r="G52" i="17"/>
  <c r="K59" i="17"/>
  <c r="O65" i="17"/>
  <c r="B24" i="39"/>
  <c r="J13" i="21"/>
  <c r="Y13" i="21" s="1"/>
  <c r="Y15" i="21" s="1"/>
  <c r="E19" i="21"/>
  <c r="T19" i="21" s="1"/>
  <c r="T21" i="21" s="1"/>
  <c r="N31" i="21"/>
  <c r="AC31" i="21" s="1"/>
  <c r="AC33" i="21" s="1"/>
  <c r="I31" i="21"/>
  <c r="X31" i="21" s="1"/>
  <c r="X33" i="21" s="1"/>
  <c r="F10" i="39"/>
  <c r="K13" i="39"/>
  <c r="K17" i="39"/>
  <c r="L49" i="21"/>
  <c r="L51" i="21" s="1"/>
  <c r="H17" i="39"/>
  <c r="E9" i="39"/>
  <c r="N9" i="39"/>
  <c r="I15" i="39"/>
  <c r="M38" i="17"/>
  <c r="C52" i="17"/>
  <c r="L59" i="17"/>
  <c r="G59" i="17"/>
  <c r="B23" i="6"/>
  <c r="I13" i="21"/>
  <c r="X13" i="21" s="1"/>
  <c r="X15" i="21" s="1"/>
  <c r="C19" i="21"/>
  <c r="R19" i="21" s="1"/>
  <c r="R21" i="21" s="1"/>
  <c r="AD21" i="21" s="1"/>
  <c r="E25" i="21"/>
  <c r="T25" i="21" s="1"/>
  <c r="M31" i="21"/>
  <c r="AB31" i="21" s="1"/>
  <c r="AB33" i="21" s="1"/>
  <c r="H31" i="21"/>
  <c r="W31" i="21" s="1"/>
  <c r="W33" i="21" s="1"/>
  <c r="E37" i="21"/>
  <c r="E10" i="39"/>
  <c r="K11" i="39"/>
  <c r="E11" i="39"/>
  <c r="G12" i="39"/>
  <c r="J13" i="39"/>
  <c r="L15" i="39"/>
  <c r="E61" i="21"/>
  <c r="T61" i="21" s="1"/>
  <c r="I9" i="39"/>
  <c r="E17" i="39"/>
  <c r="I38" i="17"/>
  <c r="M45" i="17"/>
  <c r="H59" i="17"/>
  <c r="N80" i="17"/>
  <c r="G13" i="21"/>
  <c r="V13" i="21" s="1"/>
  <c r="J61" i="21"/>
  <c r="J63" i="21" s="1"/>
  <c r="M61" i="21"/>
  <c r="AB61" i="21" s="1"/>
  <c r="AB63" i="21" s="1"/>
  <c r="N15" i="39"/>
  <c r="L10" i="39"/>
  <c r="L19" i="39" s="1"/>
  <c r="L32" i="39" s="1"/>
  <c r="L19" i="21"/>
  <c r="AA19" i="21" s="1"/>
  <c r="AA21" i="21" s="1"/>
  <c r="N12" i="39"/>
  <c r="I12" i="39"/>
  <c r="M11" i="39"/>
  <c r="J10" i="39"/>
  <c r="D133" i="31"/>
  <c r="C138" i="31" s="1"/>
  <c r="D12" i="5"/>
  <c r="E12" i="5" s="1"/>
  <c r="F12" i="5" s="1"/>
  <c r="D19" i="5"/>
  <c r="E19" i="5"/>
  <c r="J33" i="22"/>
  <c r="M32" i="22"/>
  <c r="F33" i="22"/>
  <c r="C58" i="39"/>
  <c r="J30" i="22"/>
  <c r="F21" i="5"/>
  <c r="D21" i="5"/>
  <c r="N59" i="17"/>
  <c r="J66" i="17"/>
  <c r="M66" i="17"/>
  <c r="K66" i="17"/>
  <c r="F66" i="17"/>
  <c r="I66" i="17"/>
  <c r="L66" i="17"/>
  <c r="G66" i="17"/>
  <c r="E66" i="17"/>
  <c r="H66" i="17"/>
  <c r="D66" i="17"/>
  <c r="C29" i="17"/>
  <c r="D52" i="17"/>
  <c r="J18" i="39"/>
  <c r="G18" i="39"/>
  <c r="N147" i="31"/>
  <c r="E55" i="21"/>
  <c r="T55" i="21" s="1"/>
  <c r="T57" i="21" s="1"/>
  <c r="J136" i="31"/>
  <c r="O38" i="21"/>
  <c r="E24" i="6" s="1"/>
  <c r="B23" i="39"/>
  <c r="O56" i="21"/>
  <c r="E27" i="6" s="1"/>
  <c r="H16" i="39"/>
  <c r="N55" i="21"/>
  <c r="AC55" i="21" s="1"/>
  <c r="AC57" i="21" s="1"/>
  <c r="D55" i="21"/>
  <c r="S55" i="21" s="1"/>
  <c r="S57" i="21" s="1"/>
  <c r="M70" i="21"/>
  <c r="L16" i="39"/>
  <c r="R45" i="21"/>
  <c r="AD45" i="21" s="1"/>
  <c r="J45" i="21"/>
  <c r="D21" i="21"/>
  <c r="D23" i="39"/>
  <c r="D26" i="21"/>
  <c r="S26" i="21" s="1"/>
  <c r="I45" i="21"/>
  <c r="D45" i="21"/>
  <c r="B10" i="6"/>
  <c r="N18" i="39"/>
  <c r="D38" i="17"/>
  <c r="M13" i="31"/>
  <c r="H13" i="31"/>
  <c r="H115" i="31"/>
  <c r="H6" i="38"/>
  <c r="U6" i="38" s="1"/>
  <c r="E73" i="31"/>
  <c r="C7" i="25"/>
  <c r="C13" i="31"/>
  <c r="H136" i="31"/>
  <c r="C12" i="39"/>
  <c r="M45" i="21"/>
  <c r="D15" i="21"/>
  <c r="C39" i="21"/>
  <c r="O39" i="21" s="1"/>
  <c r="Y43" i="21"/>
  <c r="B8" i="6"/>
  <c r="B22" i="6"/>
  <c r="A35" i="21"/>
  <c r="B13" i="39"/>
  <c r="K19" i="21"/>
  <c r="Z19" i="21" s="1"/>
  <c r="Z21" i="21" s="1"/>
  <c r="K26" i="21"/>
  <c r="Z26" i="21" s="1"/>
  <c r="Z72" i="21" s="1"/>
  <c r="E26" i="21"/>
  <c r="T26" i="21" s="1"/>
  <c r="K25" i="21"/>
  <c r="Z25" i="21" s="1"/>
  <c r="C31" i="21"/>
  <c r="R31" i="21" s="1"/>
  <c r="I37" i="21"/>
  <c r="X37" i="21" s="1"/>
  <c r="X39" i="21" s="1"/>
  <c r="D37" i="21"/>
  <c r="D10" i="39"/>
  <c r="K10" i="39"/>
  <c r="H11" i="39"/>
  <c r="N23" i="39"/>
  <c r="J23" i="39"/>
  <c r="F23" i="39"/>
  <c r="M12" i="39"/>
  <c r="H12" i="39"/>
  <c r="I13" i="39"/>
  <c r="D13" i="39"/>
  <c r="J9" i="39"/>
  <c r="H15" i="39"/>
  <c r="F18" i="39"/>
  <c r="K18" i="39"/>
  <c r="H67" i="21"/>
  <c r="H68" i="21" s="1"/>
  <c r="C73" i="17"/>
  <c r="M7" i="25"/>
  <c r="N13" i="31"/>
  <c r="H73" i="31"/>
  <c r="H33" i="31"/>
  <c r="E6" i="38"/>
  <c r="R6" i="38" s="1"/>
  <c r="C73" i="31"/>
  <c r="C6" i="38"/>
  <c r="P6" i="38" s="1"/>
  <c r="E45" i="21"/>
  <c r="A23" i="21"/>
  <c r="L13" i="21"/>
  <c r="AA13" i="21" s="1"/>
  <c r="AA15" i="21" s="1"/>
  <c r="E13" i="21"/>
  <c r="T13" i="21" s="1"/>
  <c r="T15" i="21" s="1"/>
  <c r="C13" i="21"/>
  <c r="C15" i="21" s="1"/>
  <c r="O15" i="21" s="1"/>
  <c r="I19" i="21"/>
  <c r="X19" i="21" s="1"/>
  <c r="X21" i="21" s="1"/>
  <c r="M26" i="21"/>
  <c r="AB26" i="21" s="1"/>
  <c r="AB72" i="21" s="1"/>
  <c r="M25" i="21"/>
  <c r="H25" i="21"/>
  <c r="F37" i="21"/>
  <c r="F39" i="21" s="1"/>
  <c r="G45" i="21"/>
  <c r="E12" i="39"/>
  <c r="F13" i="39"/>
  <c r="K55" i="21"/>
  <c r="Z55" i="21" s="1"/>
  <c r="Z57" i="21" s="1"/>
  <c r="G9" i="39"/>
  <c r="M18" i="39"/>
  <c r="N17" i="39"/>
  <c r="W45" i="21"/>
  <c r="AD43" i="21"/>
  <c r="AE44" i="21" s="1"/>
  <c r="H63" i="21"/>
  <c r="W63" i="21"/>
  <c r="M15" i="21"/>
  <c r="O56" i="17"/>
  <c r="P44" i="21"/>
  <c r="P43" i="21" s="1"/>
  <c r="D49" i="21"/>
  <c r="N73" i="31"/>
  <c r="N93" i="31"/>
  <c r="E115" i="31"/>
  <c r="E13" i="31"/>
  <c r="O49" i="17"/>
  <c r="C13" i="39"/>
  <c r="O36" i="21"/>
  <c r="AB13" i="21"/>
  <c r="AB15" i="21" s="1"/>
  <c r="Z39" i="21"/>
  <c r="V43" i="21"/>
  <c r="V45" i="21" s="1"/>
  <c r="H45" i="21"/>
  <c r="B22" i="39"/>
  <c r="H13" i="21"/>
  <c r="W13" i="21" s="1"/>
  <c r="W15" i="21" s="1"/>
  <c r="K70" i="21"/>
  <c r="G70" i="21"/>
  <c r="N19" i="21"/>
  <c r="G25" i="21"/>
  <c r="L31" i="21"/>
  <c r="N10" i="39"/>
  <c r="O63" i="17"/>
  <c r="K51" i="21"/>
  <c r="I49" i="21"/>
  <c r="X49" i="21" s="1"/>
  <c r="X51" i="21" s="1"/>
  <c r="N49" i="21"/>
  <c r="D15" i="39"/>
  <c r="F9" i="39"/>
  <c r="J73" i="31"/>
  <c r="N53" i="31"/>
  <c r="N115" i="31"/>
  <c r="N6" i="38"/>
  <c r="AA6" i="38" s="1"/>
  <c r="E7" i="25"/>
  <c r="E93" i="31"/>
  <c r="E136" i="31"/>
  <c r="O44" i="21"/>
  <c r="E25" i="6" s="1"/>
  <c r="N15" i="21"/>
  <c r="G39" i="21"/>
  <c r="K45" i="21"/>
  <c r="L45" i="21"/>
  <c r="G21" i="21"/>
  <c r="B9" i="6"/>
  <c r="K13" i="21"/>
  <c r="M19" i="21"/>
  <c r="AB19" i="21" s="1"/>
  <c r="AB21" i="21" s="1"/>
  <c r="N25" i="21"/>
  <c r="J25" i="21"/>
  <c r="H37" i="21"/>
  <c r="G55" i="21"/>
  <c r="F61" i="21"/>
  <c r="K9" i="39"/>
  <c r="H29" i="17"/>
  <c r="O51" i="17"/>
  <c r="Q14" i="28"/>
  <c r="N7" i="25"/>
  <c r="E53" i="31"/>
  <c r="E33" i="31"/>
  <c r="K39" i="21"/>
  <c r="C45" i="21"/>
  <c r="O45" i="21" s="1"/>
  <c r="B21" i="6"/>
  <c r="F13" i="21"/>
  <c r="F15" i="21" s="1"/>
  <c r="H19" i="21"/>
  <c r="J26" i="21"/>
  <c r="Y26" i="21" s="1"/>
  <c r="F31" i="21"/>
  <c r="H10" i="39"/>
  <c r="G11" i="39"/>
  <c r="N11" i="39"/>
  <c r="H13" i="39"/>
  <c r="L63" i="21"/>
  <c r="J51" i="21"/>
  <c r="J52" i="17"/>
  <c r="F52" i="17"/>
  <c r="V33" i="21"/>
  <c r="AC15" i="21"/>
  <c r="O14" i="21"/>
  <c r="E20" i="6" s="1"/>
  <c r="E30" i="6" s="1"/>
  <c r="D26" i="27" s="1"/>
  <c r="O32" i="21"/>
  <c r="E23" i="6" s="1"/>
  <c r="O30" i="21"/>
  <c r="V14" i="21"/>
  <c r="F70" i="21"/>
  <c r="J70" i="21"/>
  <c r="D63" i="21"/>
  <c r="O62" i="21"/>
  <c r="E28" i="6" s="1"/>
  <c r="C70" i="21"/>
  <c r="O70" i="21" s="1"/>
  <c r="M39" i="21"/>
  <c r="G33" i="21"/>
  <c r="O12" i="21"/>
  <c r="D33" i="21"/>
  <c r="O24" i="21"/>
  <c r="N70" i="21"/>
  <c r="O20" i="21"/>
  <c r="E21" i="6" s="1"/>
  <c r="O18" i="21"/>
  <c r="R32" i="21"/>
  <c r="AD32" i="21" s="1"/>
  <c r="G23" i="6" s="1"/>
  <c r="C45" i="17"/>
  <c r="O42" i="17"/>
  <c r="C38" i="17"/>
  <c r="O35" i="17"/>
  <c r="D5" i="41" s="1"/>
  <c r="AC45" i="21"/>
  <c r="C57" i="21"/>
  <c r="O57" i="21" s="1"/>
  <c r="O18" i="25"/>
  <c r="AA70" i="21"/>
  <c r="AC70" i="21"/>
  <c r="U45" i="21"/>
  <c r="I70" i="21"/>
  <c r="N68" i="21"/>
  <c r="X67" i="21"/>
  <c r="X72" i="21" s="1"/>
  <c r="I72" i="21"/>
  <c r="D68" i="21"/>
  <c r="W55" i="21"/>
  <c r="W57" i="21" s="1"/>
  <c r="R67" i="21"/>
  <c r="R68" i="21" s="1"/>
  <c r="C68" i="21"/>
  <c r="AC61" i="21"/>
  <c r="N63" i="21"/>
  <c r="AA67" i="21"/>
  <c r="AA68" i="21" s="1"/>
  <c r="Y45" i="21"/>
  <c r="S45" i="21"/>
  <c r="M15" i="39"/>
  <c r="E18" i="39"/>
  <c r="I18" i="39"/>
  <c r="M68" i="21"/>
  <c r="V21" i="21"/>
  <c r="I68" i="21"/>
  <c r="L70" i="21"/>
  <c r="H70" i="21"/>
  <c r="AA45" i="21"/>
  <c r="C18" i="39"/>
  <c r="U70" i="21"/>
  <c r="Z45" i="21"/>
  <c r="K68" i="21"/>
  <c r="S19" i="21"/>
  <c r="AD20" i="21"/>
  <c r="G21" i="6" s="1"/>
  <c r="H57" i="21"/>
  <c r="L57" i="21"/>
  <c r="Z68" i="21"/>
  <c r="L68" i="21"/>
  <c r="F68" i="21"/>
  <c r="X70" i="21"/>
  <c r="S70" i="21"/>
  <c r="O48" i="21"/>
  <c r="G68" i="21"/>
  <c r="E68" i="21"/>
  <c r="J68" i="21"/>
  <c r="S67" i="21"/>
  <c r="S68" i="21" s="1"/>
  <c r="R39" i="21"/>
  <c r="AD39" i="21" s="1"/>
  <c r="Z51" i="21"/>
  <c r="V68" i="21"/>
  <c r="V70" i="21"/>
  <c r="Z70" i="21"/>
  <c r="O60" i="21"/>
  <c r="E70" i="21"/>
  <c r="D70" i="21"/>
  <c r="S33" i="21"/>
  <c r="AB49" i="21"/>
  <c r="AB51" i="21" s="1"/>
  <c r="M51" i="21"/>
  <c r="G49" i="21"/>
  <c r="F49" i="21"/>
  <c r="V39" i="21"/>
  <c r="Y70" i="21"/>
  <c r="W70" i="21"/>
  <c r="AB39" i="21"/>
  <c r="AB70" i="21"/>
  <c r="AD18" i="21"/>
  <c r="S15" i="21"/>
  <c r="AD24" i="21"/>
  <c r="AD30" i="21"/>
  <c r="AD36" i="21"/>
  <c r="AB45" i="21"/>
  <c r="C72" i="21"/>
  <c r="S63" i="21"/>
  <c r="AD62" i="21"/>
  <c r="G28" i="6" s="1"/>
  <c r="AA63" i="21"/>
  <c r="AD65" i="21"/>
  <c r="AD54" i="21"/>
  <c r="W50" i="21"/>
  <c r="T62" i="21"/>
  <c r="AA56" i="21"/>
  <c r="O54" i="21"/>
  <c r="O65" i="21"/>
  <c r="T60" i="21"/>
  <c r="AD60" i="21" s="1"/>
  <c r="T48" i="21"/>
  <c r="AD48" i="21" s="1"/>
  <c r="T12" i="21"/>
  <c r="AB66" i="21"/>
  <c r="AB68" i="21" s="1"/>
  <c r="X66" i="21"/>
  <c r="T66" i="21"/>
  <c r="T68" i="21" s="1"/>
  <c r="AC67" i="21"/>
  <c r="AC68" i="21" s="1"/>
  <c r="Y67" i="21"/>
  <c r="U67" i="21"/>
  <c r="Y49" i="21"/>
  <c r="R55" i="21"/>
  <c r="O66" i="21"/>
  <c r="I63" i="21" l="1"/>
  <c r="B37" i="21"/>
  <c r="C12" i="6" s="1"/>
  <c r="D8" i="41"/>
  <c r="B49" i="21"/>
  <c r="C14" i="6" s="1"/>
  <c r="D10" i="41"/>
  <c r="B55" i="21"/>
  <c r="C15" i="6" s="1"/>
  <c r="D9" i="41"/>
  <c r="B31" i="21"/>
  <c r="C11" i="6" s="1"/>
  <c r="D7" i="41"/>
  <c r="B25" i="21"/>
  <c r="C10" i="6" s="1"/>
  <c r="D6" i="41"/>
  <c r="B13" i="21"/>
  <c r="C8" i="6" s="1"/>
  <c r="D4" i="41"/>
  <c r="J77" i="31"/>
  <c r="K77" i="31" s="1"/>
  <c r="L77" i="31" s="1"/>
  <c r="M77" i="31" s="1"/>
  <c r="N77" i="31" s="1"/>
  <c r="O79" i="31"/>
  <c r="O84" i="31"/>
  <c r="L58" i="39"/>
  <c r="O16" i="31"/>
  <c r="K23" i="38"/>
  <c r="O80" i="31"/>
  <c r="O20" i="31"/>
  <c r="O19" i="31"/>
  <c r="D34" i="5"/>
  <c r="C81" i="31"/>
  <c r="D81" i="31" s="1"/>
  <c r="E81" i="31" s="1"/>
  <c r="F81" i="31" s="1"/>
  <c r="G81" i="31" s="1"/>
  <c r="H81" i="31" s="1"/>
  <c r="I81" i="31" s="1"/>
  <c r="J81" i="31" s="1"/>
  <c r="K81" i="31" s="1"/>
  <c r="L81" i="31" s="1"/>
  <c r="M81" i="31" s="1"/>
  <c r="N81" i="31" s="1"/>
  <c r="E34" i="5" s="1"/>
  <c r="L23" i="38"/>
  <c r="O75" i="31"/>
  <c r="I21" i="31"/>
  <c r="J21" i="31" s="1"/>
  <c r="K21" i="31" s="1"/>
  <c r="L21" i="31" s="1"/>
  <c r="M21" i="31" s="1"/>
  <c r="N21" i="31" s="1"/>
  <c r="C37" i="22"/>
  <c r="O37" i="22" s="1"/>
  <c r="C33" i="22"/>
  <c r="O33" i="22" s="1"/>
  <c r="C31" i="7" s="1"/>
  <c r="C60" i="6" s="1"/>
  <c r="G34" i="22"/>
  <c r="O15" i="31"/>
  <c r="N30" i="22"/>
  <c r="N58" i="39"/>
  <c r="M30" i="22"/>
  <c r="K58" i="39"/>
  <c r="O58" i="39" s="1"/>
  <c r="K30" i="22"/>
  <c r="O30" i="22" s="1"/>
  <c r="C28" i="7" s="1"/>
  <c r="C57" i="6" s="1"/>
  <c r="D61" i="39"/>
  <c r="D33" i="22"/>
  <c r="M63" i="21"/>
  <c r="E51" i="21"/>
  <c r="S27" i="21"/>
  <c r="K33" i="21"/>
  <c r="K28" i="24"/>
  <c r="M28" i="24"/>
  <c r="O104" i="31"/>
  <c r="O103" i="31"/>
  <c r="F28" i="24"/>
  <c r="E7" i="39"/>
  <c r="E8" i="22"/>
  <c r="D24" i="25"/>
  <c r="D59" i="39"/>
  <c r="R21" i="28"/>
  <c r="C22" i="37" s="1"/>
  <c r="E22" i="37" s="1"/>
  <c r="G22" i="37" s="1"/>
  <c r="C62" i="39"/>
  <c r="O62" i="39" s="1"/>
  <c r="D23" i="38"/>
  <c r="O100" i="31"/>
  <c r="O99" i="31"/>
  <c r="I10" i="21"/>
  <c r="J33" i="21"/>
  <c r="D31" i="5"/>
  <c r="C23" i="38"/>
  <c r="E23" i="38"/>
  <c r="H23" i="38"/>
  <c r="R20" i="28"/>
  <c r="C21" i="37" s="1"/>
  <c r="E21" i="37" s="1"/>
  <c r="G21" i="37" s="1"/>
  <c r="O59" i="31"/>
  <c r="M23" i="38"/>
  <c r="G10" i="28"/>
  <c r="H10" i="28" s="1"/>
  <c r="I10" i="28" s="1"/>
  <c r="J10" i="28" s="1"/>
  <c r="K10" i="28" s="1"/>
  <c r="L10" i="28" s="1"/>
  <c r="M10" i="28" s="1"/>
  <c r="N10" i="28" s="1"/>
  <c r="O10" i="28" s="1"/>
  <c r="P10" i="28" s="1"/>
  <c r="Q10" i="28" s="1"/>
  <c r="I32" i="22"/>
  <c r="F15" i="28"/>
  <c r="F23" i="28" s="1"/>
  <c r="F25" i="28" s="1"/>
  <c r="J28" i="24"/>
  <c r="I28" i="24"/>
  <c r="H7" i="39"/>
  <c r="H10" i="21"/>
  <c r="H8" i="22"/>
  <c r="E23" i="28"/>
  <c r="E25" i="28" s="1"/>
  <c r="Y23" i="38"/>
  <c r="Z23" i="38"/>
  <c r="R18" i="28"/>
  <c r="C19" i="37" s="1"/>
  <c r="E19" i="37" s="1"/>
  <c r="G19" i="37" s="1"/>
  <c r="R17" i="28"/>
  <c r="C18" i="37" s="1"/>
  <c r="E18" i="37" s="1"/>
  <c r="G18" i="37" s="1"/>
  <c r="R9" i="28"/>
  <c r="C10" i="37" s="1"/>
  <c r="E10" i="37" s="1"/>
  <c r="G10" i="37" s="1"/>
  <c r="I8" i="22"/>
  <c r="X10" i="21"/>
  <c r="O60" i="31"/>
  <c r="J21" i="21"/>
  <c r="E13" i="6"/>
  <c r="R51" i="21"/>
  <c r="AD51" i="21" s="1"/>
  <c r="AE45" i="21"/>
  <c r="AE43" i="21" s="1"/>
  <c r="B26" i="29"/>
  <c r="I21" i="21"/>
  <c r="J15" i="21"/>
  <c r="G15" i="21"/>
  <c r="J57" i="21"/>
  <c r="L24" i="25"/>
  <c r="I57" i="21"/>
  <c r="M57" i="21"/>
  <c r="L60" i="39"/>
  <c r="M24" i="25"/>
  <c r="K62" i="39"/>
  <c r="K34" i="22"/>
  <c r="O67" i="21"/>
  <c r="E17" i="6" s="1"/>
  <c r="W51" i="21"/>
  <c r="P72" i="17"/>
  <c r="E33" i="21"/>
  <c r="H51" i="21"/>
  <c r="P28" i="17"/>
  <c r="G63" i="21"/>
  <c r="F57" i="21"/>
  <c r="P51" i="17"/>
  <c r="P58" i="17"/>
  <c r="P65" i="17"/>
  <c r="P44" i="17"/>
  <c r="B19" i="21"/>
  <c r="C9" i="6" s="1"/>
  <c r="P37" i="17"/>
  <c r="O45" i="17"/>
  <c r="O117" i="17"/>
  <c r="P116" i="17"/>
  <c r="O110" i="17"/>
  <c r="P109" i="17"/>
  <c r="O103" i="17"/>
  <c r="P102" i="17"/>
  <c r="G18" i="7"/>
  <c r="G44" i="6" s="1"/>
  <c r="E44" i="6"/>
  <c r="N19" i="38"/>
  <c r="O28" i="24"/>
  <c r="N7" i="39"/>
  <c r="N8" i="22"/>
  <c r="G13" i="7"/>
  <c r="G39" i="6" s="1"/>
  <c r="E39" i="6"/>
  <c r="E35" i="6"/>
  <c r="G9" i="7"/>
  <c r="G35" i="6" s="1"/>
  <c r="F147" i="31"/>
  <c r="F6" i="38"/>
  <c r="S6" i="38" s="1"/>
  <c r="I14" i="28"/>
  <c r="F53" i="31"/>
  <c r="G16" i="7"/>
  <c r="G42" i="6" s="1"/>
  <c r="E42" i="6"/>
  <c r="M33" i="21"/>
  <c r="I39" i="21"/>
  <c r="Y61" i="21"/>
  <c r="Y63" i="21" s="1"/>
  <c r="R13" i="21"/>
  <c r="R15" i="21" s="1"/>
  <c r="AD15" i="21" s="1"/>
  <c r="L21" i="21"/>
  <c r="L39" i="21"/>
  <c r="X68" i="21"/>
  <c r="C51" i="21"/>
  <c r="O51" i="21" s="1"/>
  <c r="M123" i="17"/>
  <c r="C10" i="38"/>
  <c r="O73" i="17"/>
  <c r="J19" i="39"/>
  <c r="J32" i="39" s="1"/>
  <c r="N57" i="21"/>
  <c r="AA49" i="21"/>
  <c r="AA51" i="21" s="1"/>
  <c r="K72" i="21"/>
  <c r="E72" i="21"/>
  <c r="D72" i="21"/>
  <c r="I19" i="39"/>
  <c r="I32" i="39" s="1"/>
  <c r="Y37" i="21"/>
  <c r="Y39" i="21" s="1"/>
  <c r="V72" i="21"/>
  <c r="E63" i="21"/>
  <c r="M19" i="39"/>
  <c r="M32" i="39" s="1"/>
  <c r="M10" i="25"/>
  <c r="C123" i="17"/>
  <c r="C27" i="21"/>
  <c r="O27" i="21" s="1"/>
  <c r="N11" i="25"/>
  <c r="T72" i="21"/>
  <c r="R70" i="21"/>
  <c r="AD70" i="21" s="1"/>
  <c r="W67" i="21"/>
  <c r="W68" i="21" s="1"/>
  <c r="H33" i="21"/>
  <c r="R27" i="21"/>
  <c r="AD27" i="21" s="1"/>
  <c r="N33" i="21"/>
  <c r="I15" i="21"/>
  <c r="Z27" i="21"/>
  <c r="J71" i="21"/>
  <c r="J9" i="38" s="1"/>
  <c r="J11" i="38" s="1"/>
  <c r="N39" i="21"/>
  <c r="K27" i="21"/>
  <c r="L71" i="21"/>
  <c r="L9" i="38" s="1"/>
  <c r="L11" i="38" s="1"/>
  <c r="R33" i="21"/>
  <c r="AD33" i="21" s="1"/>
  <c r="T27" i="21"/>
  <c r="D19" i="39"/>
  <c r="D32" i="39" s="1"/>
  <c r="E123" i="17"/>
  <c r="D123" i="17"/>
  <c r="N123" i="17"/>
  <c r="G10" i="25"/>
  <c r="G64" i="39"/>
  <c r="G36" i="22" s="1"/>
  <c r="D10" i="25"/>
  <c r="F11" i="25"/>
  <c r="L123" i="17"/>
  <c r="H123" i="17"/>
  <c r="H64" i="39"/>
  <c r="H36" i="22" s="1"/>
  <c r="H10" i="25"/>
  <c r="I11" i="25"/>
  <c r="L64" i="39"/>
  <c r="L36" i="22" s="1"/>
  <c r="L10" i="25"/>
  <c r="E64" i="39"/>
  <c r="E36" i="22" s="1"/>
  <c r="E10" i="25"/>
  <c r="K123" i="17"/>
  <c r="F123" i="17"/>
  <c r="I27" i="21"/>
  <c r="I33" i="21"/>
  <c r="G72" i="21"/>
  <c r="O59" i="17"/>
  <c r="O12" i="39"/>
  <c r="E19" i="39"/>
  <c r="E32" i="39" s="1"/>
  <c r="O16" i="39"/>
  <c r="O38" i="17"/>
  <c r="Z61" i="21"/>
  <c r="Z63" i="21" s="1"/>
  <c r="J64" i="39"/>
  <c r="J36" i="22" s="1"/>
  <c r="K11" i="25"/>
  <c r="J10" i="25"/>
  <c r="O44" i="31"/>
  <c r="R23" i="38"/>
  <c r="K60" i="39"/>
  <c r="K32" i="22"/>
  <c r="O56" i="31"/>
  <c r="C57" i="31"/>
  <c r="D57" i="31" s="1"/>
  <c r="E57" i="31" s="1"/>
  <c r="F57" i="31" s="1"/>
  <c r="G57" i="31" s="1"/>
  <c r="H57" i="31" s="1"/>
  <c r="I57" i="31" s="1"/>
  <c r="J57" i="31" s="1"/>
  <c r="K57" i="31" s="1"/>
  <c r="L57" i="31" s="1"/>
  <c r="M57" i="31" s="1"/>
  <c r="N57" i="31" s="1"/>
  <c r="H62" i="39"/>
  <c r="H34" i="22"/>
  <c r="M34" i="22"/>
  <c r="M62" i="39"/>
  <c r="J34" i="22"/>
  <c r="J62" i="39"/>
  <c r="E41" i="6"/>
  <c r="G15" i="7"/>
  <c r="G41" i="6" s="1"/>
  <c r="I19" i="38"/>
  <c r="K136" i="31"/>
  <c r="K6" i="38"/>
  <c r="X6" i="38" s="1"/>
  <c r="N14" i="28"/>
  <c r="K53" i="31"/>
  <c r="K147" i="31"/>
  <c r="K115" i="31"/>
  <c r="K73" i="31"/>
  <c r="K13" i="31"/>
  <c r="K33" i="31"/>
  <c r="K93" i="31"/>
  <c r="K7" i="25"/>
  <c r="M14" i="28"/>
  <c r="J33" i="31"/>
  <c r="L136" i="31"/>
  <c r="L93" i="31"/>
  <c r="L7" i="25"/>
  <c r="L73" i="31"/>
  <c r="L115" i="31"/>
  <c r="L6" i="38"/>
  <c r="Y6" i="38" s="1"/>
  <c r="L13" i="31"/>
  <c r="O14" i="28"/>
  <c r="L53" i="31"/>
  <c r="L33" i="31"/>
  <c r="L147" i="31"/>
  <c r="Y72" i="21"/>
  <c r="X17" i="38" s="1"/>
  <c r="X28" i="38" s="1"/>
  <c r="L15" i="21"/>
  <c r="J13" i="31"/>
  <c r="J53" i="31"/>
  <c r="J115" i="31"/>
  <c r="O39" i="31"/>
  <c r="C24" i="25"/>
  <c r="O24" i="25" s="1"/>
  <c r="B23" i="38" s="1"/>
  <c r="K10" i="25"/>
  <c r="L11" i="25"/>
  <c r="K64" i="39"/>
  <c r="K36" i="22" s="1"/>
  <c r="M11" i="25"/>
  <c r="O122" i="17"/>
  <c r="D24" i="41" s="1"/>
  <c r="H147" i="31"/>
  <c r="H53" i="31"/>
  <c r="K14" i="28"/>
  <c r="H93" i="31"/>
  <c r="H7" i="25"/>
  <c r="K59" i="39"/>
  <c r="K31" i="22"/>
  <c r="K24" i="25"/>
  <c r="D56" i="39"/>
  <c r="D28" i="22"/>
  <c r="D37" i="22" s="1"/>
  <c r="D38" i="22" s="1"/>
  <c r="E117" i="31"/>
  <c r="E119" i="31" s="1"/>
  <c r="F31" i="22"/>
  <c r="F59" i="39"/>
  <c r="F24" i="25"/>
  <c r="H31" i="22"/>
  <c r="H59" i="39"/>
  <c r="O40" i="31"/>
  <c r="X23" i="38"/>
  <c r="Q23" i="38"/>
  <c r="I23" i="38"/>
  <c r="W23" i="38"/>
  <c r="C60" i="39"/>
  <c r="O60" i="39" s="1"/>
  <c r="C32" i="22"/>
  <c r="O32" i="22" s="1"/>
  <c r="C30" i="7" s="1"/>
  <c r="C59" i="6" s="1"/>
  <c r="O55" i="31"/>
  <c r="J60" i="39"/>
  <c r="J32" i="22"/>
  <c r="E62" i="39"/>
  <c r="E34" i="22"/>
  <c r="C51" i="6"/>
  <c r="R10" i="28"/>
  <c r="C11" i="37" s="1"/>
  <c r="E11" i="37" s="1"/>
  <c r="G11" i="37" s="1"/>
  <c r="D19" i="38"/>
  <c r="R19" i="28"/>
  <c r="C20" i="37" s="1"/>
  <c r="E20" i="37" s="1"/>
  <c r="G20" i="37" s="1"/>
  <c r="C21" i="21"/>
  <c r="O21" i="21" s="1"/>
  <c r="J93" i="31"/>
  <c r="J7" i="25"/>
  <c r="I123" i="17"/>
  <c r="J123" i="17"/>
  <c r="H24" i="25"/>
  <c r="E147" i="31"/>
  <c r="H14" i="28"/>
  <c r="C150" i="31"/>
  <c r="D149" i="31" s="1"/>
  <c r="D150" i="31" s="1"/>
  <c r="E149" i="31" s="1"/>
  <c r="E150" i="31" s="1"/>
  <c r="F149" i="31" s="1"/>
  <c r="F150" i="31" s="1"/>
  <c r="G149" i="31" s="1"/>
  <c r="G150" i="31" s="1"/>
  <c r="H149" i="31" s="1"/>
  <c r="H150" i="31" s="1"/>
  <c r="I149" i="31" s="1"/>
  <c r="I150" i="31" s="1"/>
  <c r="J149" i="31" s="1"/>
  <c r="J150" i="31" s="1"/>
  <c r="K149" i="31" s="1"/>
  <c r="K150" i="31" s="1"/>
  <c r="L149" i="31" s="1"/>
  <c r="L150" i="31" s="1"/>
  <c r="M149" i="31" s="1"/>
  <c r="M150" i="31" s="1"/>
  <c r="N149" i="31" s="1"/>
  <c r="N150" i="31" s="1"/>
  <c r="C152" i="31" s="1"/>
  <c r="D136" i="31"/>
  <c r="D53" i="31"/>
  <c r="D115" i="31"/>
  <c r="D73" i="31"/>
  <c r="D93" i="31"/>
  <c r="D147" i="31"/>
  <c r="D13" i="31"/>
  <c r="G14" i="28"/>
  <c r="D33" i="31"/>
  <c r="D6" i="38"/>
  <c r="Q6" i="38" s="1"/>
  <c r="D7" i="25"/>
  <c r="O63" i="31"/>
  <c r="H19" i="38"/>
  <c r="N31" i="22"/>
  <c r="N59" i="39"/>
  <c r="N24" i="25"/>
  <c r="E31" i="22"/>
  <c r="E59" i="39"/>
  <c r="E24" i="25"/>
  <c r="M31" i="22"/>
  <c r="M59" i="39"/>
  <c r="I31" i="22"/>
  <c r="I59" i="39"/>
  <c r="I24" i="25"/>
  <c r="P23" i="38"/>
  <c r="O43" i="31"/>
  <c r="J23" i="38"/>
  <c r="V23" i="38"/>
  <c r="AA23" i="38"/>
  <c r="E60" i="39"/>
  <c r="E32" i="22"/>
  <c r="G32" i="22"/>
  <c r="G60" i="39"/>
  <c r="N62" i="39"/>
  <c r="N34" i="22"/>
  <c r="I62" i="39"/>
  <c r="I34" i="22"/>
  <c r="F23" i="5"/>
  <c r="F24" i="5" s="1"/>
  <c r="D23" i="5"/>
  <c r="D24" i="5" s="1"/>
  <c r="E23" i="5"/>
  <c r="E24" i="5" s="1"/>
  <c r="P35" i="24"/>
  <c r="G11" i="7"/>
  <c r="L19" i="38"/>
  <c r="E37" i="6"/>
  <c r="F19" i="38"/>
  <c r="G19" i="38"/>
  <c r="K19" i="38"/>
  <c r="T37" i="21"/>
  <c r="T39" i="21" s="1"/>
  <c r="E39" i="21"/>
  <c r="I10" i="25"/>
  <c r="J11" i="25"/>
  <c r="I64" i="39"/>
  <c r="I36" i="22" s="1"/>
  <c r="M147" i="31"/>
  <c r="P14" i="28"/>
  <c r="M93" i="31"/>
  <c r="M33" i="31"/>
  <c r="M73" i="31"/>
  <c r="O64" i="31"/>
  <c r="G20" i="7"/>
  <c r="G46" i="6" s="1"/>
  <c r="E46" i="6"/>
  <c r="J59" i="39"/>
  <c r="J31" i="22"/>
  <c r="S23" i="38"/>
  <c r="F60" i="39"/>
  <c r="F32" i="22"/>
  <c r="E19" i="38"/>
  <c r="M136" i="31"/>
  <c r="E21" i="21"/>
  <c r="E27" i="21"/>
  <c r="J6" i="38"/>
  <c r="W6" i="38" s="1"/>
  <c r="J147" i="31"/>
  <c r="M115" i="31"/>
  <c r="M53" i="31"/>
  <c r="J24" i="25"/>
  <c r="O95" i="31"/>
  <c r="F64" i="39"/>
  <c r="F36" i="22" s="1"/>
  <c r="G11" i="25"/>
  <c r="F10" i="25"/>
  <c r="H11" i="25"/>
  <c r="N64" i="39"/>
  <c r="N36" i="22" s="1"/>
  <c r="N10" i="25"/>
  <c r="F21" i="21"/>
  <c r="U19" i="21"/>
  <c r="U21" i="21" s="1"/>
  <c r="I147" i="31"/>
  <c r="I115" i="31"/>
  <c r="L14" i="28"/>
  <c r="I136" i="31"/>
  <c r="I33" i="31"/>
  <c r="I13" i="31"/>
  <c r="I6" i="38"/>
  <c r="V6" i="38" s="1"/>
  <c r="I73" i="31"/>
  <c r="I93" i="31"/>
  <c r="I7" i="25"/>
  <c r="I53" i="31"/>
  <c r="N136" i="31"/>
  <c r="N33" i="31"/>
  <c r="M19" i="38"/>
  <c r="G12" i="28"/>
  <c r="H8" i="28"/>
  <c r="G15" i="28"/>
  <c r="G16" i="28"/>
  <c r="G59" i="39"/>
  <c r="G31" i="22"/>
  <c r="G24" i="25"/>
  <c r="F23" i="38"/>
  <c r="U23" i="38"/>
  <c r="E37" i="31"/>
  <c r="F37" i="31" s="1"/>
  <c r="G37" i="31" s="1"/>
  <c r="H37" i="31" s="1"/>
  <c r="I37" i="31" s="1"/>
  <c r="J37" i="31" s="1"/>
  <c r="K37" i="31" s="1"/>
  <c r="L37" i="31" s="1"/>
  <c r="M37" i="31" s="1"/>
  <c r="N37" i="31" s="1"/>
  <c r="G23" i="38"/>
  <c r="N23" i="38"/>
  <c r="D60" i="39"/>
  <c r="D32" i="22"/>
  <c r="H32" i="22"/>
  <c r="H60" i="39"/>
  <c r="C97" i="31"/>
  <c r="D97" i="31" s="1"/>
  <c r="E97" i="31" s="1"/>
  <c r="F97" i="31" s="1"/>
  <c r="G97" i="31" s="1"/>
  <c r="H97" i="31" s="1"/>
  <c r="I97" i="31" s="1"/>
  <c r="J97" i="31" s="1"/>
  <c r="K97" i="31" s="1"/>
  <c r="L97" i="31" s="1"/>
  <c r="M97" i="31" s="1"/>
  <c r="N97" i="31" s="1"/>
  <c r="O96" i="31"/>
  <c r="D62" i="39"/>
  <c r="D34" i="22"/>
  <c r="F62" i="39"/>
  <c r="F34" i="22"/>
  <c r="O52" i="39"/>
  <c r="E23" i="7"/>
  <c r="J19" i="38"/>
  <c r="G123" i="17"/>
  <c r="O121" i="17"/>
  <c r="O66" i="17"/>
  <c r="M72" i="21"/>
  <c r="C33" i="21"/>
  <c r="O33" i="21" s="1"/>
  <c r="D27" i="21"/>
  <c r="K57" i="21"/>
  <c r="E15" i="21"/>
  <c r="C55" i="39"/>
  <c r="C139" i="31"/>
  <c r="D138" i="31" s="1"/>
  <c r="C25" i="31"/>
  <c r="D25" i="31" s="1"/>
  <c r="E25" i="31" s="1"/>
  <c r="F25" i="31" s="1"/>
  <c r="G25" i="31" s="1"/>
  <c r="H25" i="31" s="1"/>
  <c r="I25" i="31" s="1"/>
  <c r="J25" i="31" s="1"/>
  <c r="K25" i="31" s="1"/>
  <c r="L25" i="31" s="1"/>
  <c r="M25" i="31" s="1"/>
  <c r="N25" i="31" s="1"/>
  <c r="F31" i="5" s="1"/>
  <c r="E31" i="5"/>
  <c r="O29" i="17"/>
  <c r="N26" i="21"/>
  <c r="AC26" i="21" s="1"/>
  <c r="AC72" i="21" s="1"/>
  <c r="F26" i="21"/>
  <c r="U26" i="21" s="1"/>
  <c r="U72" i="21" s="1"/>
  <c r="K19" i="39"/>
  <c r="K32" i="39" s="1"/>
  <c r="B26" i="21"/>
  <c r="C22" i="6" s="1"/>
  <c r="O31" i="21"/>
  <c r="E11" i="6" s="1"/>
  <c r="K21" i="21"/>
  <c r="D71" i="21"/>
  <c r="D9" i="38" s="1"/>
  <c r="D11" i="38" s="1"/>
  <c r="O15" i="39"/>
  <c r="E57" i="21"/>
  <c r="E71" i="21"/>
  <c r="E73" i="21" s="1"/>
  <c r="D57" i="21"/>
  <c r="O55" i="21"/>
  <c r="P56" i="21" s="1"/>
  <c r="M21" i="21"/>
  <c r="O10" i="39"/>
  <c r="G13" i="6"/>
  <c r="F19" i="39"/>
  <c r="F32" i="39" s="1"/>
  <c r="U37" i="21"/>
  <c r="U39" i="21" s="1"/>
  <c r="S72" i="21"/>
  <c r="M71" i="21"/>
  <c r="M9" i="38" s="1"/>
  <c r="M11" i="38" s="1"/>
  <c r="C19" i="39"/>
  <c r="O19" i="39" s="1"/>
  <c r="C18" i="27" s="1"/>
  <c r="H23" i="39"/>
  <c r="H26" i="21"/>
  <c r="H27" i="21" s="1"/>
  <c r="W25" i="21"/>
  <c r="L23" i="39"/>
  <c r="L26" i="21"/>
  <c r="AB25" i="21"/>
  <c r="AB27" i="21" s="1"/>
  <c r="M27" i="21"/>
  <c r="S37" i="21"/>
  <c r="S39" i="21" s="1"/>
  <c r="D39" i="21"/>
  <c r="O11" i="39"/>
  <c r="V15" i="21"/>
  <c r="N71" i="21"/>
  <c r="O25" i="21"/>
  <c r="P26" i="21" s="1"/>
  <c r="G19" i="39"/>
  <c r="G32" i="39" s="1"/>
  <c r="AC25" i="21"/>
  <c r="H15" i="21"/>
  <c r="I51" i="21"/>
  <c r="G71" i="21"/>
  <c r="G9" i="38" s="1"/>
  <c r="G11" i="38" s="1"/>
  <c r="U13" i="21"/>
  <c r="U15" i="21" s="1"/>
  <c r="O52" i="17"/>
  <c r="O13" i="39"/>
  <c r="R72" i="21"/>
  <c r="AD72" i="21" s="1"/>
  <c r="J72" i="21"/>
  <c r="N19" i="39"/>
  <c r="N32" i="39" s="1"/>
  <c r="H19" i="39"/>
  <c r="H32" i="39" s="1"/>
  <c r="F63" i="21"/>
  <c r="U61" i="21"/>
  <c r="U63" i="21" s="1"/>
  <c r="K15" i="21"/>
  <c r="Z13" i="21"/>
  <c r="Z15" i="21" s="1"/>
  <c r="I71" i="21"/>
  <c r="I9" i="38" s="1"/>
  <c r="I11" i="38" s="1"/>
  <c r="K71" i="21"/>
  <c r="K9" i="38" s="1"/>
  <c r="K11" i="38" s="1"/>
  <c r="V55" i="21"/>
  <c r="V57" i="21" s="1"/>
  <c r="G57" i="21"/>
  <c r="Y25" i="21"/>
  <c r="Y27" i="21" s="1"/>
  <c r="J27" i="21"/>
  <c r="AA31" i="21"/>
  <c r="L33" i="21"/>
  <c r="F33" i="21"/>
  <c r="U31" i="21"/>
  <c r="W19" i="21"/>
  <c r="H21" i="21"/>
  <c r="AC19" i="21"/>
  <c r="AC21" i="21" s="1"/>
  <c r="N21" i="21"/>
  <c r="O9" i="39"/>
  <c r="O13" i="21"/>
  <c r="P15" i="21" s="1"/>
  <c r="H71" i="21"/>
  <c r="O19" i="21"/>
  <c r="P20" i="21" s="1"/>
  <c r="W37" i="21"/>
  <c r="O37" i="21"/>
  <c r="H39" i="21"/>
  <c r="AC49" i="21"/>
  <c r="AC51" i="21" s="1"/>
  <c r="N51" i="21"/>
  <c r="V25" i="21"/>
  <c r="G27" i="21"/>
  <c r="D51" i="21"/>
  <c r="S49" i="21"/>
  <c r="S51" i="21" s="1"/>
  <c r="O49" i="21"/>
  <c r="D30" i="5"/>
  <c r="D37" i="5" s="1"/>
  <c r="B17" i="38"/>
  <c r="O68" i="21"/>
  <c r="E29" i="6" s="1"/>
  <c r="AC63" i="21"/>
  <c r="S21" i="21"/>
  <c r="B67" i="21"/>
  <c r="C17" i="6" s="1"/>
  <c r="B66" i="21"/>
  <c r="Y68" i="21"/>
  <c r="V49" i="21"/>
  <c r="G51" i="21"/>
  <c r="U49" i="21"/>
  <c r="F51" i="21"/>
  <c r="F71" i="21"/>
  <c r="P67" i="21"/>
  <c r="P68" i="21"/>
  <c r="AA57" i="21"/>
  <c r="AD66" i="21"/>
  <c r="X63" i="21"/>
  <c r="X71" i="21"/>
  <c r="T70" i="21"/>
  <c r="AD12" i="21"/>
  <c r="U68" i="21"/>
  <c r="Y51" i="21"/>
  <c r="T63" i="21"/>
  <c r="R57" i="21"/>
  <c r="AD57" i="21" s="1"/>
  <c r="O72" i="21"/>
  <c r="C17" i="38"/>
  <c r="D55" i="41" l="1"/>
  <c r="C18" i="6"/>
  <c r="C29" i="36" s="1"/>
  <c r="D29" i="36" s="1"/>
  <c r="C85" i="31"/>
  <c r="D85" i="31" s="1"/>
  <c r="E85" i="31" s="1"/>
  <c r="F85" i="31" s="1"/>
  <c r="G85" i="31" s="1"/>
  <c r="H85" i="31" s="1"/>
  <c r="I85" i="31" s="1"/>
  <c r="J85" i="31" s="1"/>
  <c r="K85" i="31" s="1"/>
  <c r="L85" i="31" s="1"/>
  <c r="M85" i="31" s="1"/>
  <c r="N85" i="31" s="1"/>
  <c r="F34" i="5" s="1"/>
  <c r="C38" i="22"/>
  <c r="O38" i="22" s="1"/>
  <c r="C14" i="26" s="1"/>
  <c r="AD67" i="21"/>
  <c r="G17" i="6" s="1"/>
  <c r="P51" i="21"/>
  <c r="E17" i="38"/>
  <c r="E28" i="38" s="1"/>
  <c r="D17" i="38"/>
  <c r="D28" i="38" s="1"/>
  <c r="D29" i="38" s="1"/>
  <c r="P57" i="21"/>
  <c r="P55" i="21" s="1"/>
  <c r="AB23" i="38"/>
  <c r="P122" i="17"/>
  <c r="O23" i="38"/>
  <c r="O19" i="38"/>
  <c r="J73" i="21"/>
  <c r="N12" i="25"/>
  <c r="N30" i="25" s="1"/>
  <c r="M12" i="25"/>
  <c r="M30" i="25" s="1"/>
  <c r="T71" i="21"/>
  <c r="R9" i="38" s="1"/>
  <c r="R11" i="38" s="1"/>
  <c r="AB71" i="21"/>
  <c r="AB73" i="21" s="1"/>
  <c r="G12" i="25"/>
  <c r="G30" i="25" s="1"/>
  <c r="F27" i="21"/>
  <c r="F12" i="25"/>
  <c r="F30" i="25" s="1"/>
  <c r="I12" i="25"/>
  <c r="I30" i="25" s="1"/>
  <c r="L12" i="25"/>
  <c r="L30" i="25" s="1"/>
  <c r="H12" i="25"/>
  <c r="H30" i="25" s="1"/>
  <c r="E28" i="22"/>
  <c r="E37" i="22" s="1"/>
  <c r="E38" i="22" s="1"/>
  <c r="E56" i="39"/>
  <c r="F117" i="31"/>
  <c r="F119" i="31" s="1"/>
  <c r="G117" i="31" s="1"/>
  <c r="E51" i="6"/>
  <c r="C61" i="31"/>
  <c r="D61" i="31" s="1"/>
  <c r="E61" i="31" s="1"/>
  <c r="F61" i="31" s="1"/>
  <c r="G61" i="31" s="1"/>
  <c r="H61" i="31" s="1"/>
  <c r="I61" i="31" s="1"/>
  <c r="J61" i="31" s="1"/>
  <c r="K61" i="31" s="1"/>
  <c r="L61" i="31" s="1"/>
  <c r="M61" i="31" s="1"/>
  <c r="N61" i="31" s="1"/>
  <c r="D33" i="5"/>
  <c r="D32" i="5"/>
  <c r="C41" i="31"/>
  <c r="D41" i="31" s="1"/>
  <c r="E41" i="31" s="1"/>
  <c r="F41" i="31" s="1"/>
  <c r="G41" i="31" s="1"/>
  <c r="H41" i="31" s="1"/>
  <c r="I41" i="31" s="1"/>
  <c r="J41" i="31" s="1"/>
  <c r="K41" i="31" s="1"/>
  <c r="L41" i="31" s="1"/>
  <c r="M41" i="31" s="1"/>
  <c r="N41" i="31" s="1"/>
  <c r="G23" i="28"/>
  <c r="G25" i="28" s="1"/>
  <c r="O149" i="31"/>
  <c r="D35" i="5"/>
  <c r="C101" i="31"/>
  <c r="D101" i="31" s="1"/>
  <c r="E101" i="31" s="1"/>
  <c r="F101" i="31" s="1"/>
  <c r="G101" i="31" s="1"/>
  <c r="H101" i="31" s="1"/>
  <c r="I101" i="31" s="1"/>
  <c r="J101" i="31" s="1"/>
  <c r="K101" i="31" s="1"/>
  <c r="L101" i="31" s="1"/>
  <c r="M101" i="31" s="1"/>
  <c r="N101" i="31" s="1"/>
  <c r="H16" i="28"/>
  <c r="I8" i="28"/>
  <c r="H15" i="28"/>
  <c r="H12" i="28"/>
  <c r="G37" i="6"/>
  <c r="G51" i="6" s="1"/>
  <c r="Y19" i="38"/>
  <c r="W19" i="38"/>
  <c r="R19" i="38"/>
  <c r="Q19" i="38"/>
  <c r="Z19" i="38"/>
  <c r="S19" i="38"/>
  <c r="G23" i="7"/>
  <c r="V19" i="38"/>
  <c r="T19" i="38"/>
  <c r="P19" i="38"/>
  <c r="AA19" i="38"/>
  <c r="X19" i="38"/>
  <c r="U19" i="38"/>
  <c r="C153" i="31"/>
  <c r="D152" i="31" s="1"/>
  <c r="D153" i="31" s="1"/>
  <c r="E152" i="31" s="1"/>
  <c r="E153" i="31" s="1"/>
  <c r="F152" i="31" s="1"/>
  <c r="F153" i="31" s="1"/>
  <c r="G152" i="31" s="1"/>
  <c r="G153" i="31" s="1"/>
  <c r="H152" i="31" s="1"/>
  <c r="H153" i="31" s="1"/>
  <c r="I152" i="31" s="1"/>
  <c r="I153" i="31" s="1"/>
  <c r="J152" i="31" s="1"/>
  <c r="J153" i="31" s="1"/>
  <c r="K152" i="31" s="1"/>
  <c r="K153" i="31" s="1"/>
  <c r="L152" i="31" s="1"/>
  <c r="L153" i="31" s="1"/>
  <c r="M152" i="31" s="1"/>
  <c r="M153" i="31" s="1"/>
  <c r="N152" i="31" s="1"/>
  <c r="N153" i="31" s="1"/>
  <c r="C155" i="31" s="1"/>
  <c r="C33" i="39"/>
  <c r="C21" i="25"/>
  <c r="B71" i="21"/>
  <c r="C63" i="6"/>
  <c r="K12" i="25"/>
  <c r="K30" i="25" s="1"/>
  <c r="J12" i="25"/>
  <c r="J30" i="25" s="1"/>
  <c r="O123" i="17"/>
  <c r="P33" i="21"/>
  <c r="P32" i="21"/>
  <c r="N27" i="21"/>
  <c r="AC27" i="21"/>
  <c r="N72" i="21"/>
  <c r="P17" i="38" s="1"/>
  <c r="P28" i="38" s="1"/>
  <c r="AB28" i="38" s="1"/>
  <c r="K10" i="38"/>
  <c r="D73" i="21"/>
  <c r="E8" i="6"/>
  <c r="F10" i="38"/>
  <c r="D55" i="39"/>
  <c r="D65" i="39" s="1"/>
  <c r="D139" i="31"/>
  <c r="E138" i="31" s="1"/>
  <c r="C65" i="39"/>
  <c r="O65" i="39" s="1"/>
  <c r="R17" i="38"/>
  <c r="R28" i="38" s="1"/>
  <c r="S17" i="38"/>
  <c r="S28" i="38" s="1"/>
  <c r="U27" i="21"/>
  <c r="F72" i="21"/>
  <c r="G17" i="38" s="1"/>
  <c r="G28" i="38" s="1"/>
  <c r="G29" i="38" s="1"/>
  <c r="E10" i="6"/>
  <c r="P27" i="21"/>
  <c r="P25" i="21" s="1"/>
  <c r="E9" i="38"/>
  <c r="E11" i="38" s="1"/>
  <c r="G10" i="38"/>
  <c r="P10" i="38"/>
  <c r="AB10" i="38" s="1"/>
  <c r="I73" i="21"/>
  <c r="N10" i="38"/>
  <c r="M73" i="21"/>
  <c r="N9" i="38"/>
  <c r="N11" i="38" s="1"/>
  <c r="E15" i="6"/>
  <c r="C32" i="39"/>
  <c r="C53" i="39" s="1"/>
  <c r="O53" i="39" s="1"/>
  <c r="J10" i="38"/>
  <c r="O23" i="39"/>
  <c r="AA26" i="21"/>
  <c r="L27" i="21"/>
  <c r="L72" i="21"/>
  <c r="W26" i="21"/>
  <c r="W72" i="21" s="1"/>
  <c r="U17" i="38" s="1"/>
  <c r="U28" i="38" s="1"/>
  <c r="H72" i="21"/>
  <c r="I17" i="38" s="1"/>
  <c r="I28" i="38" s="1"/>
  <c r="I29" i="38" s="1"/>
  <c r="Z71" i="21"/>
  <c r="Z73" i="21" s="1"/>
  <c r="K17" i="38"/>
  <c r="K28" i="38" s="1"/>
  <c r="K29" i="38" s="1"/>
  <c r="Y71" i="21"/>
  <c r="Y73" i="21" s="1"/>
  <c r="AD68" i="21"/>
  <c r="G29" i="6" s="1"/>
  <c r="E14" i="6"/>
  <c r="P14" i="21"/>
  <c r="P13" i="21" s="1"/>
  <c r="G73" i="21"/>
  <c r="AD55" i="21"/>
  <c r="AE57" i="21" s="1"/>
  <c r="H9" i="38"/>
  <c r="H11" i="38" s="1"/>
  <c r="AC71" i="21"/>
  <c r="AA9" i="38" s="1"/>
  <c r="AA11" i="38" s="1"/>
  <c r="S71" i="21"/>
  <c r="Q9" i="38" s="1"/>
  <c r="Q11" i="38" s="1"/>
  <c r="K73" i="21"/>
  <c r="W21" i="21"/>
  <c r="W71" i="21"/>
  <c r="U9" i="38" s="1"/>
  <c r="U11" i="38" s="1"/>
  <c r="P50" i="21"/>
  <c r="M10" i="38"/>
  <c r="I10" i="38"/>
  <c r="AD19" i="21"/>
  <c r="E9" i="6"/>
  <c r="W39" i="21"/>
  <c r="AD37" i="21"/>
  <c r="AD13" i="21"/>
  <c r="AD25" i="21"/>
  <c r="V27" i="21"/>
  <c r="AA71" i="21"/>
  <c r="AA33" i="21"/>
  <c r="P21" i="21"/>
  <c r="P19" i="21" s="1"/>
  <c r="E12" i="6"/>
  <c r="P39" i="21"/>
  <c r="P38" i="21"/>
  <c r="U33" i="21"/>
  <c r="AD31" i="21"/>
  <c r="L10" i="38"/>
  <c r="C13" i="27"/>
  <c r="C16" i="36" s="1"/>
  <c r="D16" i="36" s="1"/>
  <c r="C10" i="27"/>
  <c r="C9" i="27"/>
  <c r="AD49" i="21"/>
  <c r="AE50" i="21" s="1"/>
  <c r="T17" i="38"/>
  <c r="T28" i="38" s="1"/>
  <c r="P66" i="21"/>
  <c r="F9" i="38"/>
  <c r="F11" i="38" s="1"/>
  <c r="H10" i="38"/>
  <c r="V51" i="21"/>
  <c r="V71" i="21"/>
  <c r="U51" i="21"/>
  <c r="U71" i="21"/>
  <c r="X73" i="21"/>
  <c r="V9" i="38"/>
  <c r="V11" i="38" s="1"/>
  <c r="AE68" i="21"/>
  <c r="AE67" i="21"/>
  <c r="O17" i="38"/>
  <c r="C28" i="38"/>
  <c r="C22" i="36" l="1"/>
  <c r="D22" i="36" s="1"/>
  <c r="D52" i="6"/>
  <c r="C16" i="27"/>
  <c r="C31" i="6"/>
  <c r="C9" i="26" s="1"/>
  <c r="C22" i="27"/>
  <c r="C10" i="26"/>
  <c r="C11" i="26" s="1"/>
  <c r="C17" i="27" s="1"/>
  <c r="D30" i="6"/>
  <c r="D15" i="27"/>
  <c r="D51" i="6"/>
  <c r="C24" i="36"/>
  <c r="D24" i="36" s="1"/>
  <c r="C19" i="27"/>
  <c r="D64" i="6"/>
  <c r="C24" i="27"/>
  <c r="F56" i="39"/>
  <c r="P49" i="21"/>
  <c r="E29" i="38"/>
  <c r="T73" i="21"/>
  <c r="AB19" i="38"/>
  <c r="H23" i="28"/>
  <c r="Z9" i="38"/>
  <c r="Z11" i="38" s="1"/>
  <c r="V17" i="38"/>
  <c r="V28" i="38" s="1"/>
  <c r="V29" i="38" s="1"/>
  <c r="W17" i="38"/>
  <c r="W28" i="38" s="1"/>
  <c r="F17" i="38"/>
  <c r="F28" i="38" s="1"/>
  <c r="F29" i="38" s="1"/>
  <c r="AA10" i="38"/>
  <c r="J17" i="38"/>
  <c r="J28" i="38" s="1"/>
  <c r="J29" i="38" s="1"/>
  <c r="F73" i="21"/>
  <c r="Q17" i="38"/>
  <c r="Q28" i="38" s="1"/>
  <c r="Q29" i="38" s="1"/>
  <c r="N17" i="38"/>
  <c r="N28" i="38" s="1"/>
  <c r="N29" i="38" s="1"/>
  <c r="L17" i="38"/>
  <c r="L28" i="38" s="1"/>
  <c r="L29" i="38" s="1"/>
  <c r="D33" i="39"/>
  <c r="D53" i="39" s="1"/>
  <c r="D21" i="25"/>
  <c r="D66" i="39"/>
  <c r="I15" i="28"/>
  <c r="I16" i="28"/>
  <c r="I12" i="28"/>
  <c r="J8" i="28"/>
  <c r="C65" i="31"/>
  <c r="D65" i="31" s="1"/>
  <c r="E65" i="31" s="1"/>
  <c r="F65" i="31" s="1"/>
  <c r="G65" i="31" s="1"/>
  <c r="H65" i="31" s="1"/>
  <c r="I65" i="31" s="1"/>
  <c r="J65" i="31" s="1"/>
  <c r="K65" i="31" s="1"/>
  <c r="L65" i="31" s="1"/>
  <c r="M65" i="31" s="1"/>
  <c r="N65" i="31" s="1"/>
  <c r="F33" i="5" s="1"/>
  <c r="E33" i="5"/>
  <c r="E32" i="5"/>
  <c r="C45" i="31"/>
  <c r="D45" i="31" s="1"/>
  <c r="E45" i="31" s="1"/>
  <c r="F45" i="31" s="1"/>
  <c r="G45" i="31" s="1"/>
  <c r="H45" i="31" s="1"/>
  <c r="I45" i="31" s="1"/>
  <c r="J45" i="31" s="1"/>
  <c r="K45" i="31" s="1"/>
  <c r="L45" i="31" s="1"/>
  <c r="M45" i="31" s="1"/>
  <c r="N45" i="31" s="1"/>
  <c r="F32" i="5" s="1"/>
  <c r="X10" i="38"/>
  <c r="F28" i="22"/>
  <c r="F37" i="22" s="1"/>
  <c r="F38" i="22" s="1"/>
  <c r="P31" i="21"/>
  <c r="C156" i="31"/>
  <c r="D155" i="31" s="1"/>
  <c r="D156" i="31" s="1"/>
  <c r="E155" i="31" s="1"/>
  <c r="E156" i="31" s="1"/>
  <c r="F155" i="31" s="1"/>
  <c r="F156" i="31" s="1"/>
  <c r="G155" i="31" s="1"/>
  <c r="G156" i="31" s="1"/>
  <c r="H155" i="31" s="1"/>
  <c r="H156" i="31" s="1"/>
  <c r="I155" i="31" s="1"/>
  <c r="I156" i="31" s="1"/>
  <c r="J155" i="31" s="1"/>
  <c r="J156" i="31" s="1"/>
  <c r="K155" i="31" s="1"/>
  <c r="K156" i="31" s="1"/>
  <c r="L155" i="31" s="1"/>
  <c r="L156" i="31" s="1"/>
  <c r="M155" i="31" s="1"/>
  <c r="M156" i="31" s="1"/>
  <c r="N155" i="31" s="1"/>
  <c r="N156" i="31" s="1"/>
  <c r="O152" i="31"/>
  <c r="H25" i="28"/>
  <c r="E35" i="5"/>
  <c r="C105" i="31"/>
  <c r="D105" i="31" s="1"/>
  <c r="E105" i="31" s="1"/>
  <c r="F105" i="31" s="1"/>
  <c r="G105" i="31" s="1"/>
  <c r="H105" i="31" s="1"/>
  <c r="I105" i="31" s="1"/>
  <c r="J105" i="31" s="1"/>
  <c r="K105" i="31" s="1"/>
  <c r="L105" i="31" s="1"/>
  <c r="M105" i="31" s="1"/>
  <c r="N105" i="31" s="1"/>
  <c r="F35" i="5" s="1"/>
  <c r="G15" i="6"/>
  <c r="Y10" i="38"/>
  <c r="N73" i="21"/>
  <c r="H73" i="21"/>
  <c r="AC73" i="21"/>
  <c r="E55" i="39"/>
  <c r="E139" i="31"/>
  <c r="F138" i="31" s="1"/>
  <c r="G119" i="31"/>
  <c r="C66" i="39"/>
  <c r="O66" i="39" s="1"/>
  <c r="R29" i="38"/>
  <c r="C72" i="39"/>
  <c r="C73" i="39" s="1"/>
  <c r="C67" i="39" s="1"/>
  <c r="E22" i="25" s="1"/>
  <c r="O22" i="25" s="1"/>
  <c r="B21" i="38" s="1"/>
  <c r="O32" i="39"/>
  <c r="AE56" i="21"/>
  <c r="AE55" i="21" s="1"/>
  <c r="W10" i="38"/>
  <c r="W27" i="21"/>
  <c r="H17" i="38"/>
  <c r="H28" i="38" s="1"/>
  <c r="H29" i="38" s="1"/>
  <c r="M17" i="38"/>
  <c r="M28" i="38" s="1"/>
  <c r="M29" i="38" s="1"/>
  <c r="L73" i="21"/>
  <c r="AA27" i="21"/>
  <c r="AA72" i="21"/>
  <c r="AA73" i="21" s="1"/>
  <c r="W9" i="38"/>
  <c r="W11" i="38" s="1"/>
  <c r="X9" i="38"/>
  <c r="X11" i="38" s="1"/>
  <c r="X29" i="38" s="1"/>
  <c r="AB17" i="38"/>
  <c r="S73" i="21"/>
  <c r="S10" i="38"/>
  <c r="W73" i="21"/>
  <c r="U29" i="38"/>
  <c r="E18" i="6"/>
  <c r="E15" i="27" s="1"/>
  <c r="AE51" i="21"/>
  <c r="AE49" i="21" s="1"/>
  <c r="Y9" i="38"/>
  <c r="Y11" i="38" s="1"/>
  <c r="AE21" i="21"/>
  <c r="G9" i="6"/>
  <c r="AE20" i="21"/>
  <c r="AE14" i="21"/>
  <c r="G8" i="6"/>
  <c r="AE15" i="21"/>
  <c r="AE33" i="21"/>
  <c r="G11" i="6"/>
  <c r="AE32" i="21"/>
  <c r="AE39" i="21"/>
  <c r="G12" i="6"/>
  <c r="AE38" i="21"/>
  <c r="Z10" i="38"/>
  <c r="P37" i="21"/>
  <c r="AE26" i="21"/>
  <c r="G10" i="6"/>
  <c r="AE27" i="21"/>
  <c r="G14" i="6"/>
  <c r="U10" i="38"/>
  <c r="S9" i="38"/>
  <c r="S11" i="38" s="1"/>
  <c r="S29" i="38" s="1"/>
  <c r="U73" i="21"/>
  <c r="V73" i="21"/>
  <c r="T9" i="38"/>
  <c r="T11" i="38" s="1"/>
  <c r="T29" i="38" s="1"/>
  <c r="V10" i="38"/>
  <c r="T10" i="38"/>
  <c r="AE66" i="21"/>
  <c r="O28" i="38"/>
  <c r="E30" i="5"/>
  <c r="C19" i="36" l="1"/>
  <c r="D19" i="36" s="1"/>
  <c r="C17" i="26"/>
  <c r="C19" i="26"/>
  <c r="C36" i="36" s="1"/>
  <c r="D36" i="36" s="1"/>
  <c r="O155" i="31"/>
  <c r="W29" i="38"/>
  <c r="E33" i="39"/>
  <c r="E21" i="25"/>
  <c r="J12" i="28"/>
  <c r="J16" i="28"/>
  <c r="J15" i="28"/>
  <c r="K8" i="28"/>
  <c r="I23" i="28"/>
  <c r="I25" i="28" s="1"/>
  <c r="O67" i="39"/>
  <c r="C66" i="6" s="1"/>
  <c r="F139" i="31"/>
  <c r="G138" i="31" s="1"/>
  <c r="F55" i="39"/>
  <c r="F65" i="39" s="1"/>
  <c r="C68" i="39"/>
  <c r="O68" i="39" s="1"/>
  <c r="E65" i="39"/>
  <c r="E66" i="39" s="1"/>
  <c r="G28" i="22"/>
  <c r="G56" i="39"/>
  <c r="H117" i="31"/>
  <c r="Z17" i="38"/>
  <c r="Z28" i="38" s="1"/>
  <c r="Z29" i="38" s="1"/>
  <c r="Y17" i="38"/>
  <c r="Y28" i="38" s="1"/>
  <c r="Y29" i="38" s="1"/>
  <c r="AA17" i="38"/>
  <c r="AA28" i="38" s="1"/>
  <c r="AA29" i="38" s="1"/>
  <c r="AE13" i="21"/>
  <c r="D19" i="27"/>
  <c r="D22" i="27"/>
  <c r="D24" i="27"/>
  <c r="D17" i="27"/>
  <c r="E31" i="6"/>
  <c r="D18" i="27"/>
  <c r="F52" i="6"/>
  <c r="AE19" i="21"/>
  <c r="F30" i="6"/>
  <c r="D16" i="27"/>
  <c r="F51" i="6"/>
  <c r="F64" i="6"/>
  <c r="AE31" i="21"/>
  <c r="G18" i="6"/>
  <c r="AE25" i="21"/>
  <c r="AE37" i="21"/>
  <c r="E37" i="5"/>
  <c r="F30" i="5"/>
  <c r="F37" i="5" s="1"/>
  <c r="C20" i="26" l="1"/>
  <c r="F33" i="39"/>
  <c r="F53" i="39" s="1"/>
  <c r="F21" i="25"/>
  <c r="K16" i="28"/>
  <c r="K12" i="28"/>
  <c r="L8" i="28"/>
  <c r="K15" i="28"/>
  <c r="K23" i="28" s="1"/>
  <c r="F66" i="39"/>
  <c r="J23" i="28"/>
  <c r="J25" i="28" s="1"/>
  <c r="E53" i="39"/>
  <c r="H119" i="31"/>
  <c r="G55" i="39"/>
  <c r="G139" i="31"/>
  <c r="H138" i="31" s="1"/>
  <c r="G37" i="22"/>
  <c r="G38" i="22" s="1"/>
  <c r="E22" i="27"/>
  <c r="H30" i="6"/>
  <c r="H64" i="6"/>
  <c r="E19" i="27"/>
  <c r="H51" i="6"/>
  <c r="E24" i="27"/>
  <c r="E16" i="27"/>
  <c r="H52" i="6"/>
  <c r="G31" i="6"/>
  <c r="E18" i="27"/>
  <c r="E17" i="27"/>
  <c r="D9" i="27"/>
  <c r="D13" i="27"/>
  <c r="D10" i="27"/>
  <c r="E13" i="27"/>
  <c r="E10" i="27"/>
  <c r="E9" i="27"/>
  <c r="D11" i="25"/>
  <c r="C64" i="39"/>
  <c r="O64" i="39" s="1"/>
  <c r="E11" i="25"/>
  <c r="E12" i="25" s="1"/>
  <c r="E30" i="25" s="1"/>
  <c r="C10" i="25"/>
  <c r="O10" i="25" s="1"/>
  <c r="B9" i="38" s="1"/>
  <c r="G21" i="25" l="1"/>
  <c r="G33" i="39"/>
  <c r="L15" i="28"/>
  <c r="L12" i="28"/>
  <c r="M8" i="28"/>
  <c r="L16" i="28"/>
  <c r="K25" i="28"/>
  <c r="G65" i="39"/>
  <c r="G66" i="39" s="1"/>
  <c r="H56" i="39"/>
  <c r="H28" i="22"/>
  <c r="I117" i="31"/>
  <c r="H55" i="39"/>
  <c r="H139" i="31"/>
  <c r="I138" i="31" s="1"/>
  <c r="C36" i="22"/>
  <c r="O36" i="22" s="1"/>
  <c r="C34" i="7" s="1"/>
  <c r="C12" i="25"/>
  <c r="C30" i="25" s="1"/>
  <c r="D12" i="25"/>
  <c r="D30" i="25" s="1"/>
  <c r="O11" i="25"/>
  <c r="B10" i="38" s="1"/>
  <c r="H65" i="39" l="1"/>
  <c r="M15" i="28"/>
  <c r="N8" i="28"/>
  <c r="M12" i="28"/>
  <c r="M16" i="28"/>
  <c r="G53" i="39"/>
  <c r="L23" i="28"/>
  <c r="L25" i="28" s="1"/>
  <c r="H21" i="25"/>
  <c r="H33" i="39"/>
  <c r="H53" i="39" s="1"/>
  <c r="I119" i="31"/>
  <c r="I139" i="31"/>
  <c r="J138" i="31" s="1"/>
  <c r="I55" i="39"/>
  <c r="H37" i="22"/>
  <c r="H38" i="22" s="1"/>
  <c r="O12" i="25"/>
  <c r="O30" i="25"/>
  <c r="B29" i="38" s="1"/>
  <c r="C31" i="25"/>
  <c r="I33" i="39" l="1"/>
  <c r="I53" i="39" s="1"/>
  <c r="I21" i="25"/>
  <c r="N15" i="28"/>
  <c r="N12" i="28"/>
  <c r="O8" i="28"/>
  <c r="N16" i="28"/>
  <c r="M23" i="28"/>
  <c r="M25" i="28" s="1"/>
  <c r="H66" i="39"/>
  <c r="J139" i="31"/>
  <c r="K138" i="31" s="1"/>
  <c r="J55" i="39"/>
  <c r="I56" i="39"/>
  <c r="I65" i="39" s="1"/>
  <c r="I66" i="39" s="1"/>
  <c r="J117" i="31"/>
  <c r="I28" i="22"/>
  <c r="B11" i="38"/>
  <c r="D10" i="5"/>
  <c r="C32" i="25"/>
  <c r="J21" i="25" l="1"/>
  <c r="J33" i="39"/>
  <c r="J53" i="39" s="1"/>
  <c r="O15" i="28"/>
  <c r="P8" i="28"/>
  <c r="O12" i="28"/>
  <c r="O16" i="28"/>
  <c r="N23" i="28"/>
  <c r="N25" i="28" s="1"/>
  <c r="J119" i="31"/>
  <c r="K55" i="39"/>
  <c r="K139" i="31"/>
  <c r="L138" i="31" s="1"/>
  <c r="I37" i="22"/>
  <c r="I38" i="22" s="1"/>
  <c r="C25" i="27"/>
  <c r="C34" i="25"/>
  <c r="D26" i="25" s="1"/>
  <c r="O32" i="25"/>
  <c r="C33" i="25"/>
  <c r="D8" i="25" s="1"/>
  <c r="D31" i="25" s="1"/>
  <c r="K21" i="25" l="1"/>
  <c r="K33" i="39"/>
  <c r="K53" i="39" s="1"/>
  <c r="P15" i="28"/>
  <c r="Q8" i="28"/>
  <c r="P16" i="28"/>
  <c r="P12" i="28"/>
  <c r="O23" i="28"/>
  <c r="O25" i="28" s="1"/>
  <c r="K117" i="31"/>
  <c r="K119" i="31" s="1"/>
  <c r="J56" i="39"/>
  <c r="J65" i="39" s="1"/>
  <c r="J66" i="39" s="1"/>
  <c r="J28" i="22"/>
  <c r="J37" i="22" s="1"/>
  <c r="J38" i="22" s="1"/>
  <c r="L55" i="39"/>
  <c r="L139" i="31"/>
  <c r="M138" i="31" s="1"/>
  <c r="D35" i="22"/>
  <c r="O35" i="22" s="1"/>
  <c r="D63" i="39"/>
  <c r="O26" i="25"/>
  <c r="B31" i="38"/>
  <c r="C27" i="36"/>
  <c r="D32" i="25"/>
  <c r="D34" i="25" s="1"/>
  <c r="E26" i="25" s="1"/>
  <c r="P23" i="28" l="1"/>
  <c r="P25" i="28" s="1"/>
  <c r="L21" i="25"/>
  <c r="L33" i="39"/>
  <c r="L53" i="39" s="1"/>
  <c r="Q16" i="28"/>
  <c r="R16" i="28" s="1"/>
  <c r="C17" i="37" s="1"/>
  <c r="E17" i="37" s="1"/>
  <c r="G17" i="37" s="1"/>
  <c r="Q12" i="28"/>
  <c r="Q15" i="28"/>
  <c r="R8" i="28"/>
  <c r="M55" i="39"/>
  <c r="M139" i="31"/>
  <c r="N138" i="31" s="1"/>
  <c r="K28" i="22"/>
  <c r="K37" i="22" s="1"/>
  <c r="K38" i="22" s="1"/>
  <c r="K56" i="39"/>
  <c r="K65" i="39" s="1"/>
  <c r="K66" i="39" s="1"/>
  <c r="L117" i="31"/>
  <c r="L119" i="31" s="1"/>
  <c r="D33" i="25"/>
  <c r="E8" i="25" s="1"/>
  <c r="E31" i="25" s="1"/>
  <c r="B25" i="38"/>
  <c r="C62" i="6"/>
  <c r="C33" i="7"/>
  <c r="E63" i="39"/>
  <c r="E72" i="39" s="1"/>
  <c r="E35" i="22"/>
  <c r="O63" i="39"/>
  <c r="D72" i="39"/>
  <c r="D73" i="39" s="1"/>
  <c r="C28" i="36"/>
  <c r="D28" i="36" s="1"/>
  <c r="D27" i="36"/>
  <c r="M21" i="25" l="1"/>
  <c r="M33" i="39"/>
  <c r="M53" i="39" s="1"/>
  <c r="R12" i="28"/>
  <c r="C20" i="36"/>
  <c r="D20" i="36" s="1"/>
  <c r="C9" i="37"/>
  <c r="Q23" i="28"/>
  <c r="Q25" i="28" s="1"/>
  <c r="R15" i="28"/>
  <c r="L28" i="22"/>
  <c r="L37" i="22" s="1"/>
  <c r="L38" i="22" s="1"/>
  <c r="L56" i="39"/>
  <c r="L65" i="39" s="1"/>
  <c r="L66" i="39" s="1"/>
  <c r="M117" i="31"/>
  <c r="M119" i="31" s="1"/>
  <c r="N139" i="31"/>
  <c r="C141" i="31" s="1"/>
  <c r="N55" i="39"/>
  <c r="O138" i="31"/>
  <c r="C54" i="6" s="1"/>
  <c r="D67" i="39"/>
  <c r="D68" i="39" s="1"/>
  <c r="E73" i="39"/>
  <c r="E32" i="25"/>
  <c r="E34" i="25" s="1"/>
  <c r="F26" i="25" s="1"/>
  <c r="N21" i="25" l="1"/>
  <c r="O21" i="25" s="1"/>
  <c r="B20" i="38" s="1"/>
  <c r="N33" i="39"/>
  <c r="E9" i="37"/>
  <c r="C13" i="37"/>
  <c r="R23" i="28"/>
  <c r="R25" i="28" s="1"/>
  <c r="C16" i="37"/>
  <c r="C142" i="31"/>
  <c r="D141" i="31" s="1"/>
  <c r="D142" i="31" s="1"/>
  <c r="E141" i="31" s="1"/>
  <c r="E142" i="31" s="1"/>
  <c r="F141" i="31" s="1"/>
  <c r="F142" i="31" s="1"/>
  <c r="G141" i="31" s="1"/>
  <c r="G142" i="31" s="1"/>
  <c r="H141" i="31" s="1"/>
  <c r="H142" i="31" s="1"/>
  <c r="I141" i="31" s="1"/>
  <c r="I142" i="31" s="1"/>
  <c r="J141" i="31" s="1"/>
  <c r="J142" i="31" s="1"/>
  <c r="K141" i="31" s="1"/>
  <c r="K142" i="31" s="1"/>
  <c r="L141" i="31" s="1"/>
  <c r="L142" i="31" s="1"/>
  <c r="M141" i="31" s="1"/>
  <c r="M142" i="31" s="1"/>
  <c r="N141" i="31" s="1"/>
  <c r="N142" i="31" s="1"/>
  <c r="C144" i="31" s="1"/>
  <c r="N117" i="31"/>
  <c r="M28" i="22"/>
  <c r="M37" i="22" s="1"/>
  <c r="M38" i="22" s="1"/>
  <c r="M56" i="39"/>
  <c r="M65" i="39" s="1"/>
  <c r="M66" i="39" s="1"/>
  <c r="O55" i="39"/>
  <c r="F63" i="39"/>
  <c r="F72" i="39" s="1"/>
  <c r="F73" i="39" s="1"/>
  <c r="F35" i="22"/>
  <c r="E33" i="25"/>
  <c r="F8" i="25" s="1"/>
  <c r="F31" i="25" s="1"/>
  <c r="E67" i="39"/>
  <c r="E68" i="39" s="1"/>
  <c r="C32" i="6" l="1"/>
  <c r="C52" i="6" s="1"/>
  <c r="C13" i="26"/>
  <c r="C15" i="26" s="1"/>
  <c r="C18" i="26" s="1"/>
  <c r="G9" i="37"/>
  <c r="G13" i="37" s="1"/>
  <c r="E13" i="37"/>
  <c r="C24" i="37"/>
  <c r="C26" i="37" s="1"/>
  <c r="E16" i="37"/>
  <c r="N53" i="39"/>
  <c r="O33" i="39"/>
  <c r="N119" i="31"/>
  <c r="O117" i="31"/>
  <c r="O141" i="31"/>
  <c r="E54" i="6" s="1"/>
  <c r="C145" i="31"/>
  <c r="D144" i="31" s="1"/>
  <c r="D145" i="31" s="1"/>
  <c r="E144" i="31" s="1"/>
  <c r="E145" i="31" s="1"/>
  <c r="F144" i="31" s="1"/>
  <c r="F145" i="31" s="1"/>
  <c r="G144" i="31" s="1"/>
  <c r="G145" i="31" s="1"/>
  <c r="H144" i="31" s="1"/>
  <c r="H145" i="31" s="1"/>
  <c r="I144" i="31" s="1"/>
  <c r="I145" i="31" s="1"/>
  <c r="J144" i="31" s="1"/>
  <c r="J145" i="31" s="1"/>
  <c r="K144" i="31" s="1"/>
  <c r="K145" i="31" s="1"/>
  <c r="L144" i="31" s="1"/>
  <c r="L145" i="31" s="1"/>
  <c r="M144" i="31" s="1"/>
  <c r="M145" i="31" s="1"/>
  <c r="N144" i="31" s="1"/>
  <c r="N145" i="31" s="1"/>
  <c r="F32" i="25"/>
  <c r="F34" i="25" s="1"/>
  <c r="G26" i="25" s="1"/>
  <c r="F67" i="39"/>
  <c r="G16" i="37" l="1"/>
  <c r="G24" i="37" s="1"/>
  <c r="E24" i="37"/>
  <c r="E26" i="37" s="1"/>
  <c r="G26" i="37"/>
  <c r="O144" i="31"/>
  <c r="G54" i="6" s="1"/>
  <c r="N56" i="39"/>
  <c r="N28" i="22"/>
  <c r="C121" i="31"/>
  <c r="O119" i="31"/>
  <c r="F68" i="39"/>
  <c r="H22" i="25"/>
  <c r="G63" i="39"/>
  <c r="G72" i="39" s="1"/>
  <c r="G73" i="39" s="1"/>
  <c r="G35" i="22"/>
  <c r="F33" i="25"/>
  <c r="G8" i="25" s="1"/>
  <c r="G31" i="25" s="1"/>
  <c r="H20" i="38" l="1"/>
  <c r="E20" i="38"/>
  <c r="K20" i="38"/>
  <c r="J20" i="38"/>
  <c r="M20" i="38"/>
  <c r="N20" i="38"/>
  <c r="E32" i="6"/>
  <c r="E52" i="6" s="1"/>
  <c r="F20" i="38"/>
  <c r="I20" i="38"/>
  <c r="C20" i="38"/>
  <c r="L20" i="38"/>
  <c r="G20" i="38"/>
  <c r="D20" i="38"/>
  <c r="R20" i="38"/>
  <c r="Y20" i="38"/>
  <c r="W20" i="38"/>
  <c r="V20" i="38"/>
  <c r="S20" i="38"/>
  <c r="Q20" i="38"/>
  <c r="AA20" i="38"/>
  <c r="X20" i="38"/>
  <c r="G32" i="6"/>
  <c r="G52" i="6" s="1"/>
  <c r="P20" i="38"/>
  <c r="T20" i="38"/>
  <c r="Z20" i="38"/>
  <c r="U20" i="38"/>
  <c r="C123" i="31"/>
  <c r="N37" i="22"/>
  <c r="N38" i="22" s="1"/>
  <c r="O28" i="22"/>
  <c r="C26" i="7" s="1"/>
  <c r="C35" i="7" s="1"/>
  <c r="C36" i="7" s="1"/>
  <c r="O56" i="39"/>
  <c r="N65" i="39"/>
  <c r="N66" i="39" s="1"/>
  <c r="C55" i="6"/>
  <c r="C64" i="6" s="1"/>
  <c r="C65" i="6" s="1"/>
  <c r="C67" i="6" s="1"/>
  <c r="D25" i="5"/>
  <c r="G67" i="39"/>
  <c r="G68" i="39" s="1"/>
  <c r="G32" i="25"/>
  <c r="G34" i="25" s="1"/>
  <c r="H26" i="25" s="1"/>
  <c r="AB20" i="38" l="1"/>
  <c r="O20" i="38"/>
  <c r="C21" i="36"/>
  <c r="D21" i="36" s="1"/>
  <c r="C23" i="36"/>
  <c r="D23" i="36" s="1"/>
  <c r="D40" i="5"/>
  <c r="D42" i="5" s="1"/>
  <c r="D121" i="31"/>
  <c r="H63" i="39"/>
  <c r="H72" i="39" s="1"/>
  <c r="H73" i="39" s="1"/>
  <c r="H35" i="22"/>
  <c r="G33" i="25"/>
  <c r="H8" i="25" s="1"/>
  <c r="H31" i="25" s="1"/>
  <c r="D123" i="31" l="1"/>
  <c r="C12" i="27"/>
  <c r="C33" i="36" s="1"/>
  <c r="D33" i="36" s="1"/>
  <c r="C20" i="27"/>
  <c r="D43" i="5"/>
  <c r="H32" i="25"/>
  <c r="H34" i="25" s="1"/>
  <c r="I26" i="25" s="1"/>
  <c r="H67" i="39"/>
  <c r="H68" i="39" s="1"/>
  <c r="E121" i="31" l="1"/>
  <c r="H33" i="25"/>
  <c r="I8" i="25" s="1"/>
  <c r="I31" i="25" s="1"/>
  <c r="I32" i="25" s="1"/>
  <c r="I34" i="25" s="1"/>
  <c r="J26" i="25" s="1"/>
  <c r="I63" i="39"/>
  <c r="I72" i="39" s="1"/>
  <c r="I73" i="39" s="1"/>
  <c r="I35" i="22"/>
  <c r="E123" i="31" l="1"/>
  <c r="I33" i="25"/>
  <c r="J8" i="25" s="1"/>
  <c r="J31" i="25" s="1"/>
  <c r="J32" i="25" s="1"/>
  <c r="J34" i="25" s="1"/>
  <c r="K26" i="25" s="1"/>
  <c r="I67" i="39"/>
  <c r="J63" i="39"/>
  <c r="J72" i="39" s="1"/>
  <c r="J73" i="39" s="1"/>
  <c r="J35" i="22"/>
  <c r="F121" i="31" l="1"/>
  <c r="J33" i="25"/>
  <c r="K8" i="25" s="1"/>
  <c r="K31" i="25" s="1"/>
  <c r="K32" i="25" s="1"/>
  <c r="K34" i="25" s="1"/>
  <c r="L26" i="25" s="1"/>
  <c r="J67" i="39"/>
  <c r="J68" i="39" s="1"/>
  <c r="K63" i="39"/>
  <c r="K72" i="39" s="1"/>
  <c r="K73" i="39" s="1"/>
  <c r="K35" i="22"/>
  <c r="K22" i="25"/>
  <c r="I68" i="39"/>
  <c r="F123" i="31" l="1"/>
  <c r="K67" i="39"/>
  <c r="K68" i="39" s="1"/>
  <c r="K33" i="25"/>
  <c r="L8" i="25" s="1"/>
  <c r="L31" i="25" s="1"/>
  <c r="L35" i="22"/>
  <c r="L63" i="39"/>
  <c r="L72" i="39" s="1"/>
  <c r="L73" i="39" s="1"/>
  <c r="G121" i="31" l="1"/>
  <c r="L67" i="39"/>
  <c r="L32" i="25"/>
  <c r="L34" i="25" s="1"/>
  <c r="M26" i="25" s="1"/>
  <c r="G123" i="31" l="1"/>
  <c r="L33" i="25"/>
  <c r="M8" i="25" s="1"/>
  <c r="M31" i="25" s="1"/>
  <c r="M35" i="22"/>
  <c r="M63" i="39"/>
  <c r="M72" i="39" s="1"/>
  <c r="M73" i="39" s="1"/>
  <c r="L68" i="39"/>
  <c r="N22" i="25"/>
  <c r="H121" i="31" l="1"/>
  <c r="H123" i="31" s="1"/>
  <c r="I121" i="31" s="1"/>
  <c r="I123" i="31" s="1"/>
  <c r="J121" i="31" s="1"/>
  <c r="J123" i="31" s="1"/>
  <c r="K121" i="31" s="1"/>
  <c r="K123" i="31" s="1"/>
  <c r="L121" i="31" s="1"/>
  <c r="L123" i="31" s="1"/>
  <c r="M121" i="31" s="1"/>
  <c r="M123" i="31" s="1"/>
  <c r="N121" i="31" s="1"/>
  <c r="M67" i="39"/>
  <c r="M68" i="39" s="1"/>
  <c r="M32" i="25"/>
  <c r="M34" i="25" s="1"/>
  <c r="N26" i="25" s="1"/>
  <c r="N123" i="31" l="1"/>
  <c r="O121" i="31"/>
  <c r="M33" i="25"/>
  <c r="N8" i="25" s="1"/>
  <c r="N31" i="25" s="1"/>
  <c r="N32" i="25" s="1"/>
  <c r="N34" i="25" s="1"/>
  <c r="N63" i="39"/>
  <c r="N72" i="39" s="1"/>
  <c r="N73" i="39" s="1"/>
  <c r="N67" i="39" s="1"/>
  <c r="N68" i="39" s="1"/>
  <c r="N35" i="22"/>
  <c r="C125" i="31" l="1"/>
  <c r="O123" i="31"/>
  <c r="N33" i="25"/>
  <c r="D9" i="5" s="1"/>
  <c r="D14" i="5" s="1"/>
  <c r="D26" i="5" s="1"/>
  <c r="C25" i="38"/>
  <c r="O25" i="38" s="1"/>
  <c r="D36" i="5"/>
  <c r="C7" i="38" l="1"/>
  <c r="E55" i="6"/>
  <c r="E26" i="7"/>
  <c r="E25" i="5"/>
  <c r="C127" i="31"/>
  <c r="C21" i="27"/>
  <c r="C28" i="27"/>
  <c r="D45" i="5"/>
  <c r="E33" i="7"/>
  <c r="E62" i="6"/>
  <c r="E64" i="6" s="1"/>
  <c r="E65" i="6" s="1"/>
  <c r="E35" i="7" l="1"/>
  <c r="E36" i="7" s="1"/>
  <c r="D125" i="31"/>
  <c r="C32" i="36"/>
  <c r="D32" i="36" s="1"/>
  <c r="D46" i="5"/>
  <c r="D127" i="31" l="1"/>
  <c r="E125" i="31" l="1"/>
  <c r="E127" i="31" l="1"/>
  <c r="F125" i="31" l="1"/>
  <c r="F127" i="31" l="1"/>
  <c r="G125" i="31" l="1"/>
  <c r="G127" i="31" l="1"/>
  <c r="H125" i="31" l="1"/>
  <c r="H127" i="31" s="1"/>
  <c r="I125" i="31" l="1"/>
  <c r="I127" i="31" s="1"/>
  <c r="J125" i="31" l="1"/>
  <c r="J127" i="31" s="1"/>
  <c r="K125" i="31" l="1"/>
  <c r="K127" i="31" s="1"/>
  <c r="L125" i="31" l="1"/>
  <c r="L127" i="31" s="1"/>
  <c r="M125" i="31" l="1"/>
  <c r="M127" i="31" s="1"/>
  <c r="N125" i="31" l="1"/>
  <c r="N127" i="31" l="1"/>
  <c r="O125" i="31"/>
  <c r="O127" i="31" l="1"/>
  <c r="G26" i="7" l="1"/>
  <c r="G55" i="6"/>
  <c r="F25" i="5"/>
  <c r="C80" i="17"/>
  <c r="O77" i="17"/>
  <c r="D11" i="41" s="1"/>
  <c r="D20" i="41" s="1"/>
  <c r="D57" i="41" s="1"/>
  <c r="C17" i="39"/>
  <c r="O17" i="39" s="1"/>
  <c r="C61" i="21"/>
  <c r="O61" i="21" s="1"/>
  <c r="D58" i="41" l="1"/>
  <c r="D59" i="41" s="1"/>
  <c r="O80" i="17"/>
  <c r="P79" i="17"/>
  <c r="B61" i="21"/>
  <c r="C16" i="6" s="1"/>
  <c r="P62" i="21"/>
  <c r="E16" i="6"/>
  <c r="C71" i="21"/>
  <c r="R61" i="21"/>
  <c r="C63" i="21"/>
  <c r="O63" i="21" s="1"/>
  <c r="O73" i="21" s="1"/>
  <c r="R71" i="21" l="1"/>
  <c r="AD61" i="21"/>
  <c r="R63" i="21"/>
  <c r="AD63" i="21" s="1"/>
  <c r="AD73" i="21" s="1"/>
  <c r="O71" i="21"/>
  <c r="E63" i="6" s="1"/>
  <c r="C73" i="21"/>
  <c r="C71" i="6" s="1"/>
  <c r="D10" i="38"/>
  <c r="O10" i="38" s="1"/>
  <c r="C9" i="38"/>
  <c r="E10" i="38"/>
  <c r="P63" i="21"/>
  <c r="P61" i="21" s="1"/>
  <c r="C72" i="6" l="1"/>
  <c r="O71" i="6"/>
  <c r="O9" i="38"/>
  <c r="O11" i="38" s="1"/>
  <c r="C11" i="38"/>
  <c r="C29" i="38" s="1"/>
  <c r="C30" i="38" s="1"/>
  <c r="G16" i="6"/>
  <c r="AE63" i="21"/>
  <c r="AE62" i="21"/>
  <c r="R10" i="38"/>
  <c r="Q10" i="38"/>
  <c r="AD71" i="21"/>
  <c r="G63" i="6" s="1"/>
  <c r="P9" i="38"/>
  <c r="R73" i="21"/>
  <c r="AE61" i="21" l="1"/>
  <c r="C31" i="38"/>
  <c r="C32" i="38" s="1"/>
  <c r="D7" i="38" s="1"/>
  <c r="D30" i="38" s="1"/>
  <c r="O29" i="38"/>
  <c r="E10" i="5"/>
  <c r="AB9" i="38"/>
  <c r="AB11" i="38" s="1"/>
  <c r="P11" i="38"/>
  <c r="P29" i="38" s="1"/>
  <c r="AB29" i="38" s="1"/>
  <c r="O72" i="6"/>
  <c r="C73" i="6"/>
  <c r="D31" i="38" l="1"/>
  <c r="D32" i="38" s="1"/>
  <c r="E7" i="38" s="1"/>
  <c r="E30" i="38" s="1"/>
  <c r="D25" i="27"/>
  <c r="F10" i="5"/>
  <c r="E25" i="27" s="1"/>
  <c r="E21" i="38"/>
  <c r="O73" i="6"/>
  <c r="E66" i="6" s="1"/>
  <c r="E67" i="6" s="1"/>
  <c r="E40" i="5" s="1"/>
  <c r="C33" i="38"/>
  <c r="D25" i="38" s="1"/>
  <c r="D71" i="6" s="1"/>
  <c r="D72" i="6" s="1"/>
  <c r="D73" i="6" s="1"/>
  <c r="O31" i="38"/>
  <c r="E31" i="38" l="1"/>
  <c r="E42" i="5"/>
  <c r="D33" i="38"/>
  <c r="E25" i="38" s="1"/>
  <c r="E71" i="6" s="1"/>
  <c r="E72" i="6" s="1"/>
  <c r="E73" i="6" s="1"/>
  <c r="E33" i="38" l="1"/>
  <c r="F25" i="38" s="1"/>
  <c r="F71" i="6" s="1"/>
  <c r="F72" i="6" s="1"/>
  <c r="F73" i="6" s="1"/>
  <c r="H21" i="38" s="1"/>
  <c r="E43" i="5"/>
  <c r="D12" i="27"/>
  <c r="D20" i="27"/>
  <c r="E32" i="38"/>
  <c r="F7" i="38" s="1"/>
  <c r="F30" i="38" s="1"/>
  <c r="F31" i="38" l="1"/>
  <c r="F33" i="38" s="1"/>
  <c r="G25" i="38" s="1"/>
  <c r="G71" i="6" s="1"/>
  <c r="G72" i="6" s="1"/>
  <c r="G73" i="6" s="1"/>
  <c r="F32" i="38" l="1"/>
  <c r="G7" i="38" s="1"/>
  <c r="G30" i="38" s="1"/>
  <c r="G31" i="38" l="1"/>
  <c r="G33" i="38" s="1"/>
  <c r="H25" i="38" s="1"/>
  <c r="H71" i="6" s="1"/>
  <c r="H72" i="6" s="1"/>
  <c r="H73" i="6" s="1"/>
  <c r="G32" i="38" l="1"/>
  <c r="H7" i="38" s="1"/>
  <c r="H30" i="38" s="1"/>
  <c r="H31" i="38" l="1"/>
  <c r="H33" i="38" s="1"/>
  <c r="I25" i="38" s="1"/>
  <c r="I71" i="6" s="1"/>
  <c r="I72" i="6" s="1"/>
  <c r="I73" i="6" s="1"/>
  <c r="K21" i="38" s="1"/>
  <c r="H32" i="38" l="1"/>
  <c r="I7" i="38" s="1"/>
  <c r="I30" i="38" s="1"/>
  <c r="I31" i="38" s="1"/>
  <c r="I33" i="38" s="1"/>
  <c r="J25" i="38" s="1"/>
  <c r="J71" i="6" s="1"/>
  <c r="J72" i="6" s="1"/>
  <c r="J73" i="6" s="1"/>
  <c r="I32" i="38" l="1"/>
  <c r="J7" i="38" s="1"/>
  <c r="J30" i="38" s="1"/>
  <c r="J31" i="38" s="1"/>
  <c r="J33" i="38" s="1"/>
  <c r="K25" i="38" s="1"/>
  <c r="K71" i="6" s="1"/>
  <c r="K72" i="6" s="1"/>
  <c r="K73" i="6" s="1"/>
  <c r="J32" i="38" l="1"/>
  <c r="K7" i="38" s="1"/>
  <c r="K30" i="38" s="1"/>
  <c r="K31" i="38" s="1"/>
  <c r="K33" i="38" s="1"/>
  <c r="L25" i="38" s="1"/>
  <c r="L71" i="6" s="1"/>
  <c r="L72" i="6" s="1"/>
  <c r="L73" i="6" s="1"/>
  <c r="N21" i="38" s="1"/>
  <c r="K32" i="38" l="1"/>
  <c r="L7" i="38" s="1"/>
  <c r="L30" i="38" s="1"/>
  <c r="L31" i="38" l="1"/>
  <c r="L33" i="38" s="1"/>
  <c r="M25" i="38" s="1"/>
  <c r="M71" i="6" s="1"/>
  <c r="M72" i="6" s="1"/>
  <c r="M73" i="6" s="1"/>
  <c r="L32" i="38" l="1"/>
  <c r="M7" i="38" s="1"/>
  <c r="M30" i="38" s="1"/>
  <c r="M31" i="38" l="1"/>
  <c r="M33" i="38" s="1"/>
  <c r="N25" i="38" s="1"/>
  <c r="N71" i="6" s="1"/>
  <c r="N72" i="6" s="1"/>
  <c r="N73" i="6" s="1"/>
  <c r="M32" i="38" l="1"/>
  <c r="N7" i="38" s="1"/>
  <c r="N30" i="38" s="1"/>
  <c r="N31" i="38" l="1"/>
  <c r="N33" i="38" s="1"/>
  <c r="N32" i="38" l="1"/>
  <c r="P25" i="38"/>
  <c r="E36" i="5"/>
  <c r="C75" i="6" l="1"/>
  <c r="AB25" i="38"/>
  <c r="P7" i="38"/>
  <c r="P30" i="38" s="1"/>
  <c r="E9" i="5"/>
  <c r="E14" i="5" s="1"/>
  <c r="E26" i="5" s="1"/>
  <c r="G62" i="6" l="1"/>
  <c r="G64" i="6" s="1"/>
  <c r="G65" i="6" s="1"/>
  <c r="G33" i="7"/>
  <c r="G35" i="7" s="1"/>
  <c r="G36" i="7" s="1"/>
  <c r="D21" i="27"/>
  <c r="E45" i="5"/>
  <c r="E46" i="5" s="1"/>
  <c r="D28" i="27"/>
  <c r="C76" i="6"/>
  <c r="O75" i="6"/>
  <c r="P31" i="38"/>
  <c r="P32" i="38" s="1"/>
  <c r="Q7" i="38" s="1"/>
  <c r="Q30" i="38" s="1"/>
  <c r="Q31" i="38" s="1"/>
  <c r="AB31" i="38" l="1"/>
  <c r="P33" i="38"/>
  <c r="Q25" i="38" s="1"/>
  <c r="D75" i="6" s="1"/>
  <c r="D76" i="6" s="1"/>
  <c r="D77" i="6" s="1"/>
  <c r="C77" i="6"/>
  <c r="O76" i="6"/>
  <c r="Q32" i="38"/>
  <c r="R7" i="38" s="1"/>
  <c r="R30" i="38" s="1"/>
  <c r="R31" i="38" s="1"/>
  <c r="Q33" i="38" l="1"/>
  <c r="R25" i="38" s="1"/>
  <c r="E75" i="6" s="1"/>
  <c r="E76" i="6" s="1"/>
  <c r="E77" i="6" s="1"/>
  <c r="R32" i="38"/>
  <c r="S7" i="38" s="1"/>
  <c r="S30" i="38" s="1"/>
  <c r="S31" i="38" s="1"/>
  <c r="R21" i="38"/>
  <c r="AB21" i="38" s="1"/>
  <c r="O77" i="6"/>
  <c r="G66" i="6" s="1"/>
  <c r="G67" i="6" s="1"/>
  <c r="F40" i="5" s="1"/>
  <c r="F42" i="5" s="1"/>
  <c r="R33" i="38" l="1"/>
  <c r="S25" i="38" s="1"/>
  <c r="F75" i="6" s="1"/>
  <c r="F76" i="6" s="1"/>
  <c r="F77" i="6" s="1"/>
  <c r="U21" i="38" s="1"/>
  <c r="S32" i="38"/>
  <c r="T7" i="38" s="1"/>
  <c r="T30" i="38" s="1"/>
  <c r="T31" i="38" s="1"/>
  <c r="E20" i="27"/>
  <c r="F43" i="5"/>
  <c r="E12" i="27"/>
  <c r="S33" i="38" l="1"/>
  <c r="T25" i="38" s="1"/>
  <c r="G75" i="6" s="1"/>
  <c r="G76" i="6" s="1"/>
  <c r="G77" i="6" s="1"/>
  <c r="T32" i="38"/>
  <c r="U7" i="38" s="1"/>
  <c r="U30" i="38" s="1"/>
  <c r="T33" i="38" l="1"/>
  <c r="U25" i="38" s="1"/>
  <c r="H75" i="6" s="1"/>
  <c r="H76" i="6" s="1"/>
  <c r="H77" i="6" s="1"/>
  <c r="U31" i="38"/>
  <c r="U33" i="38" l="1"/>
  <c r="V25" i="38" s="1"/>
  <c r="I75" i="6" s="1"/>
  <c r="I76" i="6" s="1"/>
  <c r="I77" i="6" s="1"/>
  <c r="X21" i="38" s="1"/>
  <c r="U32" i="38"/>
  <c r="V7" i="38" s="1"/>
  <c r="V30" i="38" s="1"/>
  <c r="V31" i="38" l="1"/>
  <c r="V33" i="38" s="1"/>
  <c r="W25" i="38" s="1"/>
  <c r="J75" i="6" s="1"/>
  <c r="J76" i="6" s="1"/>
  <c r="J77" i="6" s="1"/>
  <c r="V32" i="38" l="1"/>
  <c r="W7" i="38" s="1"/>
  <c r="W30" i="38" s="1"/>
  <c r="W31" i="38" s="1"/>
  <c r="W33" i="38" s="1"/>
  <c r="X25" i="38" s="1"/>
  <c r="K75" i="6" s="1"/>
  <c r="K76" i="6" s="1"/>
  <c r="K77" i="6" s="1"/>
  <c r="W32" i="38" l="1"/>
  <c r="X7" i="38" s="1"/>
  <c r="X30" i="38" s="1"/>
  <c r="X31" i="38" s="1"/>
  <c r="X33" i="38" s="1"/>
  <c r="Y25" i="38" s="1"/>
  <c r="L75" i="6" s="1"/>
  <c r="L76" i="6" s="1"/>
  <c r="L77" i="6" s="1"/>
  <c r="AA21" i="38" s="1"/>
  <c r="X32" i="38" l="1"/>
  <c r="Y7" i="38" s="1"/>
  <c r="Y30" i="38" s="1"/>
  <c r="Y31" i="38" s="1"/>
  <c r="Y33" i="38" s="1"/>
  <c r="Z25" i="38" s="1"/>
  <c r="M75" i="6" s="1"/>
  <c r="M76" i="6" s="1"/>
  <c r="M77" i="6" s="1"/>
  <c r="Y32" i="38" l="1"/>
  <c r="Z7" i="38" s="1"/>
  <c r="Z30" i="38" s="1"/>
  <c r="Z31" i="38" s="1"/>
  <c r="Z33" i="38" s="1"/>
  <c r="AA25" i="38" s="1"/>
  <c r="N75" i="6" s="1"/>
  <c r="N76" i="6" s="1"/>
  <c r="N77" i="6" s="1"/>
  <c r="Z32" i="38" l="1"/>
  <c r="AA7" i="38" s="1"/>
  <c r="AA30" i="38" s="1"/>
  <c r="AA31" i="38" l="1"/>
  <c r="AA33" i="38" s="1"/>
  <c r="F36" i="5" s="1"/>
  <c r="AA32" i="38" l="1"/>
  <c r="F9" i="5" s="1"/>
  <c r="F14" i="5" s="1"/>
  <c r="F26" i="5" s="1"/>
  <c r="F45" i="5" l="1"/>
  <c r="F46" i="5" s="1"/>
  <c r="E28" i="27"/>
  <c r="E21"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Heather Hendy</author>
  </authors>
  <commentList>
    <comment ref="D7" authorId="0" shapeId="0" xr:uid="{00000000-0006-0000-0100-000001000000}">
      <text>
        <r>
          <rPr>
            <sz val="11"/>
            <color indexed="81"/>
            <rFont val="Gill Sans MT"/>
            <family val="2"/>
          </rPr>
          <t xml:space="preserve">Years of depreciation must be 3 or more for the calculations in this workbook to work correctly. </t>
        </r>
        <r>
          <rPr>
            <sz val="9"/>
            <color indexed="81"/>
            <rFont val="Tahoma"/>
            <family val="2"/>
          </rPr>
          <t xml:space="preserve">
</t>
        </r>
      </text>
    </comment>
    <comment ref="B29" authorId="0" shapeId="0" xr:uid="{00000000-0006-0000-0100-000002000000}">
      <text>
        <r>
          <rPr>
            <sz val="11"/>
            <color indexed="81"/>
            <rFont val="Gill Sans MT"/>
            <family val="2"/>
          </rPr>
          <t xml:space="preserve">Existing businesses should use the calculator at the bottom of this page to determine the Working Capital amount. Calculate the number, then enter it here. </t>
        </r>
        <r>
          <rPr>
            <sz val="9"/>
            <color indexed="81"/>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Heather Hendy</author>
    <author>Jack Hess</author>
  </authors>
  <commentList>
    <comment ref="F7" authorId="0" shapeId="0" xr:uid="{00000000-0006-0000-1000-000001000000}">
      <text>
        <r>
          <rPr>
            <sz val="11"/>
            <color indexed="81"/>
            <rFont val="Gill Sans MT"/>
            <family val="2"/>
          </rPr>
          <t xml:space="preserve">
With some research, you can find industry norms for each ratio. The Risk Management Association provides Annual Statement Studies with this information, for a fee. Visit your local library to see if they have a free copy you can use. You can also refer to trade magazines or other sources of industry data, such as www.bizstats.com or  http://biz.yahoo.com/p/industries.html. You may need to use a mix of sources, as one source may not provide all of the data. Speak with your mentor to ensure that the industry norms you are using are relevant to your business. 
Leave this column blank if you do not have the industry information. 
</t>
        </r>
      </text>
    </comment>
    <comment ref="C9" authorId="1" shapeId="0" xr:uid="{00000000-0006-0000-1000-000002000000}">
      <text>
        <r>
          <rPr>
            <b/>
            <sz val="8"/>
            <color indexed="81"/>
            <rFont val="Tahoma"/>
            <family val="2"/>
          </rPr>
          <t>An indication of a company's ability to meet short-term debt obligations.</t>
        </r>
      </text>
    </comment>
    <comment ref="C10" authorId="1" shapeId="0" xr:uid="{00000000-0006-0000-1000-000003000000}">
      <text>
        <r>
          <rPr>
            <b/>
            <sz val="8"/>
            <color indexed="81"/>
            <rFont val="Tahoma"/>
            <family val="2"/>
          </rPr>
          <t>The ratio between all assets quickly convertible into cash and current liabilities. Measures a company's liquidity. Also called acid-test ratio.</t>
        </r>
      </text>
    </comment>
    <comment ref="C12" authorId="1" shapeId="0" xr:uid="{00000000-0006-0000-1000-000004000000}">
      <text>
        <r>
          <rPr>
            <b/>
            <sz val="8"/>
            <color indexed="81"/>
            <rFont val="Tahoma"/>
            <family val="2"/>
          </rPr>
          <t>This ratio expresses the relationship between capital contributed by creditors and that contributed by owners.</t>
        </r>
      </text>
    </comment>
    <comment ref="C13" authorId="1" shapeId="0" xr:uid="{00000000-0006-0000-1000-000005000000}">
      <text>
        <r>
          <rPr>
            <b/>
            <sz val="8"/>
            <color indexed="81"/>
            <rFont val="Tahoma"/>
            <family val="2"/>
          </rPr>
          <t>This ratio indicates how well your cash flow covers debt and the capability of the business to take on additional debt.</t>
        </r>
      </text>
    </comment>
    <comment ref="C15" authorId="1" shapeId="0" xr:uid="{00000000-0006-0000-1000-000006000000}">
      <text>
        <r>
          <rPr>
            <b/>
            <sz val="8"/>
            <color indexed="81"/>
            <rFont val="Tahoma"/>
            <family val="2"/>
          </rPr>
          <t>This ratio calculates the percentage of increase (or decrease) in sales between the current year and the previous year.</t>
        </r>
      </text>
    </comment>
    <comment ref="C16" authorId="1" shapeId="0" xr:uid="{00000000-0006-0000-1000-000007000000}">
      <text>
        <r>
          <rPr>
            <b/>
            <sz val="8"/>
            <color indexed="81"/>
            <rFont val="Tahoma"/>
            <family val="2"/>
          </rPr>
          <t>The percentage of sales used to pay for the COGS (expenses which directly vary with sales) is expressed in this ratio.</t>
        </r>
      </text>
    </comment>
    <comment ref="C17" authorId="1" shapeId="0" xr:uid="{00000000-0006-0000-1000-000008000000}">
      <text>
        <r>
          <rPr>
            <b/>
            <sz val="8"/>
            <color indexed="81"/>
            <rFont val="Tahoma"/>
            <family val="2"/>
          </rPr>
          <t>This ratio indicates how much profit is earned on your products without consideration of indirect costs, selling and administration costs.</t>
        </r>
      </text>
    </comment>
    <comment ref="C18" authorId="1" shapeId="0" xr:uid="{00000000-0006-0000-1000-000009000000}">
      <text>
        <r>
          <rPr>
            <b/>
            <sz val="8"/>
            <color indexed="81"/>
            <rFont val="Tahoma"/>
            <family val="2"/>
          </rPr>
          <t>This ratio measures the percentage of selling, general and administrative costs to your amount of sales.</t>
        </r>
      </text>
    </comment>
    <comment ref="C19" authorId="1" shapeId="0" xr:uid="{00000000-0006-0000-1000-00000A000000}">
      <text>
        <r>
          <rPr>
            <b/>
            <sz val="8"/>
            <color indexed="81"/>
            <rFont val="Tahoma"/>
            <family val="2"/>
          </rPr>
          <t>Net profit margin shows how much profit comes from every dollar of sales.</t>
        </r>
      </text>
    </comment>
    <comment ref="C20" authorId="1" shapeId="0" xr:uid="{00000000-0006-0000-1000-00000B000000}">
      <text>
        <r>
          <rPr>
            <b/>
            <sz val="8"/>
            <color indexed="81"/>
            <rFont val="Tahoma"/>
            <family val="2"/>
          </rPr>
          <t>Return on equity determines the rate of return on your investment in the business.  As an owner or shareholder this is one of the most important ratios as it shows the hard fact about the business - are you making enough of a profit to compensate you for the risk of being in business?</t>
        </r>
      </text>
    </comment>
    <comment ref="C21" authorId="1" shapeId="0" xr:uid="{00000000-0006-0000-1000-00000C000000}">
      <text>
        <r>
          <rPr>
            <b/>
            <sz val="8"/>
            <color indexed="81"/>
            <rFont val="Tahoma"/>
            <family val="2"/>
          </rPr>
          <t>This ratio measures how effectively assets are used to generate a return.</t>
        </r>
      </text>
    </comment>
    <comment ref="C22" authorId="1" shapeId="0" xr:uid="{00000000-0006-0000-1000-00000D000000}">
      <text>
        <r>
          <rPr>
            <b/>
            <sz val="8"/>
            <color indexed="81"/>
            <rFont val="Tahoma"/>
            <family val="2"/>
          </rPr>
          <t>This ratio measures the owner's compensation as a percentage of sales.</t>
        </r>
      </text>
    </comment>
    <comment ref="C24" authorId="1" shapeId="0" xr:uid="{00000000-0006-0000-1000-00000E000000}">
      <text>
        <r>
          <rPr>
            <b/>
            <sz val="8"/>
            <color indexed="81"/>
            <rFont val="Tahoma"/>
            <family val="2"/>
          </rPr>
          <t>Days in receivable calculates the average number of days it takes to collect your account receivable (number of days of sales in receivables).</t>
        </r>
      </text>
    </comment>
    <comment ref="C25" authorId="1" shapeId="0" xr:uid="{00000000-0006-0000-1000-00000F000000}">
      <text>
        <r>
          <rPr>
            <b/>
            <sz val="8"/>
            <color indexed="81"/>
            <rFont val="Tahoma"/>
            <family val="2"/>
          </rPr>
          <t>This ratio tells you the number of times accounts receivable turnover during the year.</t>
        </r>
      </text>
    </comment>
    <comment ref="C26" authorId="1" shapeId="0" xr:uid="{00000000-0006-0000-1000-000010000000}">
      <text>
        <r>
          <rPr>
            <b/>
            <sz val="8"/>
            <color indexed="81"/>
            <rFont val="Tahoma"/>
            <family val="2"/>
          </rPr>
          <t>This ratio shows the average number of days it will take to sell your inventory.</t>
        </r>
      </text>
    </comment>
    <comment ref="C27" authorId="1" shapeId="0" xr:uid="{00000000-0006-0000-1000-000011000000}">
      <text>
        <r>
          <rPr>
            <b/>
            <sz val="8"/>
            <color indexed="81"/>
            <rFont val="Tahoma"/>
            <family val="2"/>
          </rPr>
          <t>This ratio calculates the number of times inventory is turned over (or sold) during the year.</t>
        </r>
      </text>
    </comment>
    <comment ref="C28" authorId="1" shapeId="0" xr:uid="{00000000-0006-0000-1000-000012000000}">
      <text>
        <r>
          <rPr>
            <b/>
            <sz val="8"/>
            <color indexed="81"/>
            <rFont val="Tahoma"/>
            <family val="2"/>
          </rPr>
          <t>This ratio indicates how efficiently your business generates sales on every dollar of assets.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George Gremse</author>
  </authors>
  <commentList>
    <comment ref="E5" authorId="0" shapeId="0" xr:uid="{224AB995-20E8-430F-932B-6DCF2A673ACA}">
      <text>
        <r>
          <rPr>
            <b/>
            <sz val="9"/>
            <color indexed="81"/>
            <rFont val="Tahoma"/>
            <family val="2"/>
          </rPr>
          <t>George Gremse:</t>
        </r>
        <r>
          <rPr>
            <sz val="9"/>
            <color indexed="81"/>
            <rFont val="Tahoma"/>
            <family val="2"/>
          </rPr>
          <t xml:space="preserve">
</t>
        </r>
      </text>
    </comment>
    <comment ref="E6" authorId="0" shapeId="0" xr:uid="{D4FA0733-5F9E-495D-A3B6-1ED92B36B40F}">
      <text>
        <r>
          <rPr>
            <b/>
            <sz val="9"/>
            <color indexed="81"/>
            <rFont val="Tahoma"/>
            <family val="2"/>
          </rPr>
          <t>George Gremse:</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SCORE:</author>
    <author>SCORE</author>
    <author>Heather Hendy</author>
  </authors>
  <commentList>
    <comment ref="B9" authorId="0" shapeId="0" xr:uid="{00000000-0006-0000-0200-000001000000}">
      <text>
        <r>
          <rPr>
            <sz val="9"/>
            <color indexed="81"/>
            <rFont val="Tahoma"/>
            <family val="2"/>
          </rPr>
          <t xml:space="preserve">
</t>
        </r>
        <r>
          <rPr>
            <b/>
            <sz val="11"/>
            <color indexed="81"/>
            <rFont val="Gill Sans MT"/>
            <family val="2"/>
          </rPr>
          <t xml:space="preserve">If you are a retail business or don't have accounts receivable put 100% for each year. </t>
        </r>
      </text>
    </comment>
    <comment ref="B10" authorId="1" shapeId="0" xr:uid="{00000000-0006-0000-0200-000002000000}">
      <text>
        <r>
          <rPr>
            <sz val="9"/>
            <color indexed="81"/>
            <rFont val="Tahoma"/>
            <family val="2"/>
          </rPr>
          <t xml:space="preserve">
</t>
        </r>
        <r>
          <rPr>
            <b/>
            <sz val="11"/>
            <color indexed="81"/>
            <rFont val="Gill Sans MT"/>
            <family val="2"/>
          </rPr>
          <t>In this field put the percentage of your sales that you expect to carry as A/R. If your business sells in cash, put 0%. Otherwise, estimate the percentage that will be paid between 30 and 60 days after sale.</t>
        </r>
      </text>
    </comment>
    <comment ref="B11" authorId="1" shapeId="0" xr:uid="{00000000-0006-0000-0200-000003000000}">
      <text>
        <r>
          <rPr>
            <sz val="9"/>
            <color indexed="81"/>
            <rFont val="Tahoma"/>
            <family val="2"/>
          </rPr>
          <t xml:space="preserve">
</t>
        </r>
        <r>
          <rPr>
            <b/>
            <sz val="11"/>
            <color indexed="81"/>
            <rFont val="Arial Black"/>
            <family val="2"/>
          </rPr>
          <t>In this field put the percentage of your sales that you expect to carry as A/R but not paid for more than 60 days. If your business sells in cash, put 0%. Otherwise, estimate the percentage that will be paid more than 60 days after sale.</t>
        </r>
      </text>
    </comment>
    <comment ref="B12" authorId="0" shapeId="0" xr:uid="{00000000-0006-0000-0200-000004000000}">
      <text>
        <r>
          <rPr>
            <b/>
            <sz val="11"/>
            <color indexed="81"/>
            <rFont val="Gill Sans MT"/>
            <family val="2"/>
          </rPr>
          <t xml:space="preserve">
Allowance for bad debt is the percentage of total A/R you believe will not be collectable for whatever reason. It could be because your customer becomes insolvent or goes out of business. 
If you can find an industry average for your industry, use that percentage. If in doubt, use either 0 or 1%. Many businesses that have good collection processes may have substantially less than 1% during a strong economy. Bankers like to see a figure here because it lets them know you are realistic about discounting the total value of your A/R as collateral for a potential loan. </t>
        </r>
      </text>
    </comment>
    <comment ref="D24" authorId="2" shapeId="0" xr:uid="{00000000-0006-0000-0200-000005000000}">
      <text>
        <r>
          <rPr>
            <b/>
            <sz val="9"/>
            <color indexed="81"/>
            <rFont val="Tahoma"/>
            <family val="2"/>
          </rPr>
          <t xml:space="preserve">How low do you want to let your ending cash balance to get? The minimum should be $0, but you might want to choose $1000, $5000, etc. </t>
        </r>
        <r>
          <rPr>
            <sz val="9"/>
            <color indexed="81"/>
            <rFont val="Tahoma"/>
            <family val="2"/>
          </rPr>
          <t xml:space="preserve">
</t>
        </r>
      </text>
    </comment>
    <comment ref="B27" authorId="2" shapeId="0" xr:uid="{00000000-0006-0000-0200-000006000000}">
      <text>
        <r>
          <rPr>
            <b/>
            <sz val="9"/>
            <color indexed="81"/>
            <rFont val="Tahoma"/>
            <family val="2"/>
          </rPr>
          <t xml:space="preserve">
</t>
        </r>
        <r>
          <rPr>
            <b/>
            <sz val="11"/>
            <color indexed="81"/>
            <rFont val="Gill Sans MT"/>
            <family val="2"/>
          </rPr>
          <t>Use this space to add items purchased after the date of the starting point (Tab 1a).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Heather Hendy</author>
    <author>SCOREUSER</author>
  </authors>
  <commentList>
    <comment ref="F8" authorId="0" shapeId="0" xr:uid="{00000000-0006-0000-0300-000001000000}">
      <text>
        <r>
          <rPr>
            <sz val="10"/>
            <color indexed="81"/>
            <rFont val="Gill Sans MT"/>
            <family val="2"/>
          </rPr>
          <t xml:space="preserve">These cells have been auto-populated, but can be overwritten if your payroll expenses increase over time. To restore the auto-population, enter this formula in the cell: =F[insert row number]. For example, the first row in this section would use: =F8. </t>
        </r>
        <r>
          <rPr>
            <sz val="9"/>
            <color indexed="81"/>
            <rFont val="Tahoma"/>
            <family val="2"/>
          </rPr>
          <t xml:space="preserve">
</t>
        </r>
      </text>
    </comment>
    <comment ref="B14" authorId="0" shapeId="0" xr:uid="{00000000-0006-0000-0300-000002000000}">
      <text>
        <r>
          <rPr>
            <sz val="11"/>
            <color indexed="81"/>
            <rFont val="Gill Sans MT"/>
            <family val="2"/>
          </rPr>
          <t xml:space="preserve">The Wage Base limit is the maximum earned gross income on which a given tax may be imposed. If you are paying a salary above that amount, you'll need to factor that into your calculation. The amounts below are for 2012.
</t>
        </r>
        <r>
          <rPr>
            <sz val="9"/>
            <color indexed="81"/>
            <rFont val="Tahoma"/>
            <family val="2"/>
          </rPr>
          <t xml:space="preserve">
</t>
        </r>
      </text>
    </comment>
    <comment ref="C17" authorId="0" shapeId="0" xr:uid="{00000000-0006-0000-0300-000003000000}">
      <text>
        <r>
          <rPr>
            <sz val="9"/>
            <color indexed="81"/>
            <rFont val="Tahoma"/>
            <family val="2"/>
          </rPr>
          <t xml:space="preserve">The Federal Unemployment tax rate was 6.2% from January 1, 2011 through June 30, 2011; and decreased to 6.0% as of July 1, 2011. It is currently still set at that rate, less a maximum credit of 5.4% for amounts paid under State unemployment 
insurance laws.  Accordingly, the normal net FUTA tax is 0.6%. This information is as-of November 2012. Check with the IRS for current information. 
</t>
        </r>
      </text>
    </comment>
    <comment ref="E19" authorId="1" shapeId="0" xr:uid="{00000000-0006-0000-0300-000004000000}">
      <text>
        <r>
          <rPr>
            <b/>
            <sz val="11"/>
            <color indexed="81"/>
            <rFont val="Gill Sans MT"/>
            <family val="2"/>
          </rPr>
          <t xml:space="preserve">
For these benefits, the formula assumes part-time employees are included. If this is not the case, change the formula accordingly.</t>
        </r>
      </text>
    </comment>
    <comment ref="E20" authorId="1" shapeId="0" xr:uid="{00000000-0006-0000-0300-000005000000}">
      <text>
        <r>
          <rPr>
            <b/>
            <sz val="11"/>
            <color indexed="81"/>
            <rFont val="Gill Sans MT"/>
            <family val="2"/>
          </rPr>
          <t xml:space="preserve">
For these benefits, the formula assumes part-time employees are included. If this is not the case, change the formula accordingly</t>
        </r>
        <r>
          <rPr>
            <b/>
            <sz val="9"/>
            <color indexed="81"/>
            <rFont val="Tahoma"/>
            <family val="2"/>
          </rPr>
          <t>.</t>
        </r>
        <r>
          <rPr>
            <sz val="9"/>
            <color indexed="81"/>
            <rFont val="Tahoma"/>
            <family val="2"/>
          </rPr>
          <t xml:space="preserve">
</t>
        </r>
      </text>
    </comment>
    <comment ref="E21" authorId="1" shapeId="0" xr:uid="{00000000-0006-0000-0300-000006000000}">
      <text>
        <r>
          <rPr>
            <b/>
            <sz val="11"/>
            <color indexed="81"/>
            <rFont val="Gill Sans MT"/>
            <family val="2"/>
          </rPr>
          <t xml:space="preserve">
For these benefits, the formula assumes part-time employees are included. If this is not the case, change the formula accordingly</t>
        </r>
        <r>
          <rPr>
            <b/>
            <sz val="9"/>
            <color indexed="81"/>
            <rFont val="Tahoma"/>
            <family val="2"/>
          </rPr>
          <t>.</t>
        </r>
        <r>
          <rPr>
            <sz val="9"/>
            <color indexed="81"/>
            <rFont val="Tahoma"/>
            <family val="2"/>
          </rPr>
          <t xml:space="preserve">
</t>
        </r>
      </text>
    </comment>
    <comment ref="E22" authorId="1" shapeId="0" xr:uid="{00000000-0006-0000-0300-000007000000}">
      <text>
        <r>
          <rPr>
            <sz val="11"/>
            <color indexed="81"/>
            <rFont val="Gill Sans MT"/>
            <family val="2"/>
          </rPr>
          <t xml:space="preserve">
</t>
        </r>
        <r>
          <rPr>
            <b/>
            <sz val="11"/>
            <color indexed="81"/>
            <rFont val="Gill Sans MT"/>
            <family val="2"/>
          </rPr>
          <t>For these benefits, the formula assumes part-time employees are included. If this is not the case, change the formula accordingly.</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Heather Hendy</author>
  </authors>
  <commentList>
    <comment ref="D7" authorId="0" shapeId="0" xr:uid="{00000000-0006-0000-0100-000001000000}">
      <text>
        <r>
          <rPr>
            <sz val="11"/>
            <color indexed="81"/>
            <rFont val="Gill Sans MT"/>
            <family val="2"/>
          </rPr>
          <t xml:space="preserve">Years of depreciation must be 3 or more for the calculations in this workbook to work correctly. </t>
        </r>
        <r>
          <rPr>
            <sz val="9"/>
            <color indexed="81"/>
            <rFont val="Tahoma"/>
            <family val="2"/>
          </rPr>
          <t xml:space="preserve">
</t>
        </r>
      </text>
    </comment>
    <comment ref="B29" authorId="0" shapeId="0" xr:uid="{00000000-0006-0000-0100-000002000000}">
      <text>
        <r>
          <rPr>
            <sz val="11"/>
            <color indexed="81"/>
            <rFont val="Gill Sans MT"/>
            <family val="2"/>
          </rPr>
          <t xml:space="preserve">Existing businesses should use the calculator at the bottom of this page to determine the Working Capital amount. Calculate the number, then enter it here. </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Heather Hendy</author>
  </authors>
  <commentList>
    <comment ref="G7" authorId="0" shapeId="0" xr:uid="{00000000-0006-0000-0600-000001000000}">
      <text>
        <r>
          <rPr>
            <b/>
            <sz val="11"/>
            <color indexed="81"/>
            <rFont val="Gill Sans MT"/>
            <family val="2"/>
          </rPr>
          <t>TIP: Click here to access a calculator that can help you determine your COGS per unit.</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Heather Hendy</author>
    <author>Joe Clarke</author>
  </authors>
  <commentList>
    <comment ref="B22" authorId="0" shapeId="0" xr:uid="{00000000-0006-0000-0A00-000001000000}">
      <text>
        <r>
          <rPr>
            <sz val="11"/>
            <color indexed="81"/>
            <rFont val="Gill Sans MT"/>
            <family val="2"/>
          </rPr>
          <t xml:space="preserve">This line allows you to approximate the personal income tax of the owner(s). This is the tax on the profit for the business.  </t>
        </r>
        <r>
          <rPr>
            <sz val="9"/>
            <color indexed="81"/>
            <rFont val="Tahoma"/>
            <family val="2"/>
          </rPr>
          <t xml:space="preserve">
</t>
        </r>
      </text>
    </comment>
    <comment ref="B25" authorId="1" shapeId="0" xr:uid="{00000000-0006-0000-0A00-000002000000}">
      <text>
        <r>
          <rPr>
            <b/>
            <sz val="9"/>
            <color indexed="81"/>
            <rFont val="Tahoma"/>
            <family val="2"/>
          </rPr>
          <t>Only record owner's draws above those already listed on the payroll tabs.</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Joe Clarke</author>
  </authors>
  <commentList>
    <comment ref="A24" authorId="0" shapeId="0" xr:uid="{00000000-0006-0000-0B00-000001000000}">
      <text>
        <r>
          <rPr>
            <b/>
            <sz val="9"/>
            <color indexed="81"/>
            <rFont val="Tahoma"/>
            <family val="2"/>
          </rPr>
          <t xml:space="preserve">Only record owner's draws above those already listed on the payroll tabs.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Heather Hendy</author>
  </authors>
  <commentList>
    <comment ref="B53" authorId="0" shapeId="0" xr:uid="{00000000-0006-0000-0C00-000001000000}">
      <text>
        <r>
          <rPr>
            <sz val="11"/>
            <color indexed="81"/>
            <rFont val="Gill Sans MT"/>
            <family val="2"/>
          </rPr>
          <t xml:space="preserve">
Also known as</t>
        </r>
        <r>
          <rPr>
            <b/>
            <sz val="11"/>
            <color indexed="81"/>
            <rFont val="Gill Sans MT"/>
            <family val="2"/>
          </rPr>
          <t xml:space="preserve"> EBITDA</t>
        </r>
        <r>
          <rPr>
            <sz val="11"/>
            <color indexed="81"/>
            <rFont val="Gill Sans MT"/>
            <family val="2"/>
          </rPr>
          <t xml:space="preserve"> (Earnings Before Interest, Taxes,  Depreciation and Amortization). This metric allows for a comparison across different businesses, which might have different levels of taxes, depreciation, or interest. This number should be used in conjunction with other metrics, as it does not give a full picture of the health of the business.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Heather Hendy</author>
  </authors>
  <commentList>
    <comment ref="B52" authorId="0" shapeId="0" xr:uid="{00000000-0006-0000-0D00-000001000000}">
      <text>
        <r>
          <rPr>
            <sz val="11"/>
            <color indexed="81"/>
            <rFont val="Gill Sans MT"/>
            <family val="2"/>
          </rPr>
          <t xml:space="preserve">
Also known as</t>
        </r>
        <r>
          <rPr>
            <b/>
            <sz val="11"/>
            <color indexed="81"/>
            <rFont val="Gill Sans MT"/>
            <family val="2"/>
          </rPr>
          <t xml:space="preserve"> EBITDA</t>
        </r>
        <r>
          <rPr>
            <sz val="11"/>
            <color indexed="81"/>
            <rFont val="Gill Sans MT"/>
            <family val="2"/>
          </rPr>
          <t xml:space="preserve"> (Earnings Before Interest, Taxes,  Depreciation and Amortization). This metric allows for a comparison across different businesses, which might have different levels of taxes, depreciation, or interest. This number should be used in conjunction with other metrics, as it does not give a full picture of the health of the business. 
</t>
        </r>
      </text>
    </comment>
  </commentList>
</comments>
</file>

<file path=xl/sharedStrings.xml><?xml version="1.0" encoding="utf-8"?>
<sst xmlns="http://schemas.openxmlformats.org/spreadsheetml/2006/main" count="1313" uniqueCount="542">
  <si>
    <t>Company Name</t>
  </si>
  <si>
    <t>Amount</t>
  </si>
  <si>
    <t>Equipment</t>
  </si>
  <si>
    <t>Vehicles</t>
  </si>
  <si>
    <t>Inventory</t>
  </si>
  <si>
    <t>Supplies</t>
  </si>
  <si>
    <t>Licenses</t>
  </si>
  <si>
    <t>Total Required Funds</t>
  </si>
  <si>
    <t>Totals</t>
  </si>
  <si>
    <t>ASSETS</t>
  </si>
  <si>
    <t>Total Assets</t>
  </si>
  <si>
    <t>Total Liabilities and Equity</t>
  </si>
  <si>
    <t>Loan Rate</t>
  </si>
  <si>
    <t>Term in Months</t>
  </si>
  <si>
    <t>Advertising</t>
  </si>
  <si>
    <t>Utilities</t>
  </si>
  <si>
    <t>Other</t>
  </si>
  <si>
    <t>Total Expenses</t>
  </si>
  <si>
    <t>Balance sheet in or out of balance?</t>
  </si>
  <si>
    <t>Allowance for bad debt</t>
  </si>
  <si>
    <t>Step 2 - Read the following instructions</t>
  </si>
  <si>
    <t>Cash Inflows</t>
  </si>
  <si>
    <t>Total Cash Inflows</t>
  </si>
  <si>
    <t>Cash Outflows</t>
  </si>
  <si>
    <t>Investing Activities</t>
  </si>
  <si>
    <t>Financing Activities</t>
  </si>
  <si>
    <t>Loan Payments</t>
  </si>
  <si>
    <t>Total Cash Outflows</t>
  </si>
  <si>
    <t>Ending Cash Balance</t>
  </si>
  <si>
    <t>Cost of Goods Sold</t>
  </si>
  <si>
    <t>Owners Distribution</t>
  </si>
  <si>
    <t>Depreciation</t>
  </si>
  <si>
    <t>Notes</t>
  </si>
  <si>
    <t>Fixed Assets</t>
  </si>
  <si>
    <t>Real Estate-Land</t>
  </si>
  <si>
    <t>Leasehold Improvements</t>
  </si>
  <si>
    <t>Furniture and Fixtures</t>
  </si>
  <si>
    <t>Other Fixed Assets</t>
  </si>
  <si>
    <t>Total Fixed Assets</t>
  </si>
  <si>
    <t>Operating Capital</t>
  </si>
  <si>
    <t>Pre-Opening Salaries and Wages</t>
  </si>
  <si>
    <t>Prepaid Insurance Premiums</t>
  </si>
  <si>
    <t>Legal and Accounting Fees</t>
  </si>
  <si>
    <t>Rent Deposits</t>
  </si>
  <si>
    <t>Utility Deposits</t>
  </si>
  <si>
    <t>Advertising and Promotions</t>
  </si>
  <si>
    <t>Other Initial Start-Up Costs</t>
  </si>
  <si>
    <t>Working Capital (Cash On Hand)</t>
  </si>
  <si>
    <t>Total Operating Capital</t>
  </si>
  <si>
    <t>Sources of Funding</t>
  </si>
  <si>
    <t>Monthly Payments</t>
  </si>
  <si>
    <t>Owner's Equity</t>
  </si>
  <si>
    <t>Outside Investors</t>
  </si>
  <si>
    <t>Additional Loans or Debt</t>
  </si>
  <si>
    <t>Commercial Loan</t>
  </si>
  <si>
    <t>Commercial Mortgage</t>
  </si>
  <si>
    <t>Total Sources of Funding</t>
  </si>
  <si>
    <t>Breakeven Analysis</t>
  </si>
  <si>
    <t>Interest</t>
  </si>
  <si>
    <t>Value</t>
  </si>
  <si>
    <t>Findings</t>
  </si>
  <si>
    <t>General Financing Assumptions</t>
  </si>
  <si>
    <t>Owner's Cash Injection into the Business</t>
  </si>
  <si>
    <t>Cash Request as percent of Total Required Funds</t>
  </si>
  <si>
    <t>Loan Assumptions</t>
  </si>
  <si>
    <t>Commercial Loan Interest rate</t>
  </si>
  <si>
    <t>Commercial Loan Term in Months</t>
  </si>
  <si>
    <t>Commercial Mortgage Interest rate</t>
  </si>
  <si>
    <t>Commercial Mortgage Term in Months</t>
  </si>
  <si>
    <t>Income Statement</t>
  </si>
  <si>
    <t>Gross Margin as a Percent of Sales</t>
  </si>
  <si>
    <t>Owner's Compensation Lower Limit Check</t>
  </si>
  <si>
    <t>Owner's Compensation Upper Limit Check</t>
  </si>
  <si>
    <t>Advertising Expense Levels as a Percent of Sales</t>
  </si>
  <si>
    <t>Profitability Levels</t>
  </si>
  <si>
    <t>Profitability as a Percent of Sales</t>
  </si>
  <si>
    <t>Cash Flow Statement</t>
  </si>
  <si>
    <t>Desired Operating cash Flow Levels</t>
  </si>
  <si>
    <t>Accounts Receivable Ratio to Sales</t>
  </si>
  <si>
    <t>Balance Sheet</t>
  </si>
  <si>
    <t>Debt to Equity Ratio</t>
  </si>
  <si>
    <t>Annual Totals</t>
  </si>
  <si>
    <t>Complete This Chart First:</t>
  </si>
  <si>
    <t>Line Item</t>
  </si>
  <si>
    <t>Beginning Balance</t>
  </si>
  <si>
    <t>Preparer Name</t>
  </si>
  <si>
    <t>Sales Forecast Year 1-3</t>
  </si>
  <si>
    <t>Full-Time Employees</t>
  </si>
  <si>
    <t>Part-Time Employees</t>
  </si>
  <si>
    <t>Independent Contractors</t>
  </si>
  <si>
    <t>Total Salaries and Wages</t>
  </si>
  <si>
    <t>Payroll Taxes and Benefits</t>
  </si>
  <si>
    <t>Social Security</t>
  </si>
  <si>
    <t>Medicare</t>
  </si>
  <si>
    <t>Federal Unemployment Tax (FUTA)</t>
  </si>
  <si>
    <t>State Unemployment Tax (SUTA)</t>
  </si>
  <si>
    <t>Employee Pension Programs</t>
  </si>
  <si>
    <t>Worker's Compensation</t>
  </si>
  <si>
    <t>Employee Health Insurance</t>
  </si>
  <si>
    <t>Other Employee Benefit Programs</t>
  </si>
  <si>
    <t>Total Payroll Taxes and Benefits</t>
  </si>
  <si>
    <t>Total Salaries and Related Expenses</t>
  </si>
  <si>
    <t>Total Cost of Goods Sold</t>
  </si>
  <si>
    <t>Margin</t>
  </si>
  <si>
    <t>Total Units Sold</t>
  </si>
  <si>
    <t>Total Sales</t>
  </si>
  <si>
    <t>Total Margin</t>
  </si>
  <si>
    <t>Category / Total</t>
  </si>
  <si>
    <t>Timeframe:</t>
  </si>
  <si>
    <t>Month</t>
  </si>
  <si>
    <t>Growth Rate 1 to 2</t>
  </si>
  <si>
    <t>Growth Rate 2 to 3</t>
  </si>
  <si>
    <t>Owner(s)</t>
  </si>
  <si>
    <t>Percentage</t>
  </si>
  <si>
    <t>Percentage of Salary/Wage</t>
  </si>
  <si>
    <t>Cash Sales</t>
  </si>
  <si>
    <t>Net Cash Flows</t>
  </si>
  <si>
    <t>Total Current Assets</t>
  </si>
  <si>
    <t/>
  </si>
  <si>
    <t>Prepared By:</t>
  </si>
  <si>
    <t>Company Name:</t>
  </si>
  <si>
    <t>Growth Rate Year 1 to Year 2:</t>
  </si>
  <si>
    <t>Growth Rate Year 2 to Year 3:</t>
  </si>
  <si>
    <t xml:space="preserve">Prepared by: </t>
  </si>
  <si>
    <t>Gross Margin</t>
  </si>
  <si>
    <t>Operating Expenses</t>
  </si>
  <si>
    <t>Net Income/Loss</t>
  </si>
  <si>
    <t>Total Revenue</t>
  </si>
  <si>
    <t>Revenue</t>
  </si>
  <si>
    <t>Liabilities</t>
  </si>
  <si>
    <t>Step 1 - Enter info about your company in yellow shaded boxes below.</t>
  </si>
  <si>
    <t>Other Expenses</t>
  </si>
  <si>
    <t>Total Funding Needed</t>
  </si>
  <si>
    <t>Credit Card Debt</t>
  </si>
  <si>
    <t>Vehicle Loans</t>
  </si>
  <si>
    <t>Other Bank Debt</t>
  </si>
  <si>
    <t>Car and Truck Expenses</t>
  </si>
  <si>
    <t>Commissions and Fees</t>
  </si>
  <si>
    <t>Contract Labor</t>
  </si>
  <si>
    <t xml:space="preserve">Depreciation </t>
  </si>
  <si>
    <t>Insurance (other than health)</t>
  </si>
  <si>
    <t>Legal and Professional Services</t>
  </si>
  <si>
    <t>Office Expense</t>
  </si>
  <si>
    <t>Rent or Lease -- Vehicles, Machinery, Equipment</t>
  </si>
  <si>
    <t>Rent or Lease -- Other Business Property</t>
  </si>
  <si>
    <t>Repairs and Maintenance</t>
  </si>
  <si>
    <t>Travel, Meals and Entertainment</t>
  </si>
  <si>
    <t>Depreciation (years)</t>
  </si>
  <si>
    <t>Total Other Expenses</t>
  </si>
  <si>
    <t>Total Fixed Operating Expenses</t>
  </si>
  <si>
    <t>Taxes</t>
  </si>
  <si>
    <t>Insurance (other than Health)</t>
  </si>
  <si>
    <t>Principal Amount</t>
  </si>
  <si>
    <t>Interest Rate</t>
  </si>
  <si>
    <t>Loan Term in Months</t>
  </si>
  <si>
    <t>Monthly Payment Amount</t>
  </si>
  <si>
    <t>Year One</t>
  </si>
  <si>
    <t>Principal</t>
  </si>
  <si>
    <t>Loan Balance</t>
  </si>
  <si>
    <t>Year Two</t>
  </si>
  <si>
    <t>Year Three</t>
  </si>
  <si>
    <t>Cash</t>
  </si>
  <si>
    <t>Contract Labor (Not included in payroll)</t>
  </si>
  <si>
    <t>Employee Types</t>
  </si>
  <si>
    <t>Expenses</t>
  </si>
  <si>
    <t>Line of Credit Drawdown</t>
  </si>
  <si>
    <t>Total  Liabilities</t>
  </si>
  <si>
    <t>Liquidity</t>
  </si>
  <si>
    <t>Current Ratio</t>
  </si>
  <si>
    <t>Quick Ratio</t>
  </si>
  <si>
    <t>Safety</t>
  </si>
  <si>
    <t>Profitability</t>
  </si>
  <si>
    <t xml:space="preserve">Sales Growth </t>
  </si>
  <si>
    <t>COGS to Sales</t>
  </si>
  <si>
    <t>Gross Profit Margin</t>
  </si>
  <si>
    <t>SG&amp;A to Sales</t>
  </si>
  <si>
    <t>Net Profit Margin</t>
  </si>
  <si>
    <t>Return on Assets</t>
  </si>
  <si>
    <t>Owner's Compensation to Sales</t>
  </si>
  <si>
    <t>Efficiency</t>
  </si>
  <si>
    <t>Days in Receivables</t>
  </si>
  <si>
    <t>Accounts Receivable Turnover</t>
  </si>
  <si>
    <t>Days in Inventory</t>
  </si>
  <si>
    <t>Inventory Turnover</t>
  </si>
  <si>
    <t>Sales to Total Assets</t>
  </si>
  <si>
    <t>Ratios</t>
  </si>
  <si>
    <t>Total Equity</t>
  </si>
  <si>
    <t>Line of Credit Assumptions</t>
  </si>
  <si>
    <t>Desired Minimum Cash Balance</t>
  </si>
  <si>
    <t>Line of Credit Interest Rate</t>
  </si>
  <si>
    <t>Line of Credit Balance</t>
  </si>
  <si>
    <t>Line of Credit Interest</t>
  </si>
  <si>
    <t>Line of Credit Repayments</t>
  </si>
  <si>
    <t xml:space="preserve"> Industry Norms</t>
  </si>
  <si>
    <t>Return on Equity (ROE)</t>
  </si>
  <si>
    <t>Starting Year</t>
  </si>
  <si>
    <t>Starting Month</t>
  </si>
  <si>
    <t>Year 1 Totals</t>
  </si>
  <si>
    <t>Year 2 Totals</t>
  </si>
  <si>
    <t>Year 3 Totals</t>
  </si>
  <si>
    <t>Number of Owners /Employees</t>
  </si>
  <si>
    <t>Start-up Expenses Year 1 (Starting Balance Sheet)</t>
  </si>
  <si>
    <t>Payroll</t>
  </si>
  <si>
    <t>Product Lines</t>
  </si>
  <si>
    <t>Total COGS</t>
  </si>
  <si>
    <t>Category Breakdown</t>
  </si>
  <si>
    <t xml:space="preserve">Miscellaneous </t>
  </si>
  <si>
    <t>Total Additional Fixed Assets</t>
  </si>
  <si>
    <t>Year 2 Total</t>
  </si>
  <si>
    <t>Year 3 Total</t>
  </si>
  <si>
    <t>Breakeven Sales in Dollars (Annual)</t>
  </si>
  <si>
    <t>Monthly</t>
  </si>
  <si>
    <t>Total Operating Expenses</t>
  </si>
  <si>
    <t xml:space="preserve">Accounts Receivable </t>
  </si>
  <si>
    <t>Operating Cash Balance</t>
  </si>
  <si>
    <t>Existing Businesses ONLY -- Calculating Cash on Hand</t>
  </si>
  <si>
    <t>Total Cash on Hand</t>
  </si>
  <si>
    <t>Payroll Years 1-3</t>
  </si>
  <si>
    <t>Diagnostic Tools - Year 1</t>
  </si>
  <si>
    <t>Financial Ratios - Year 1</t>
  </si>
  <si>
    <t>Net Income Before Income Tax</t>
  </si>
  <si>
    <t>Income Tax</t>
  </si>
  <si>
    <t xml:space="preserve">Gross Margin % of Sales </t>
  </si>
  <si>
    <t>Gross Margin/Total Sales</t>
  </si>
  <si>
    <t xml:space="preserve">Total Fixed Expenses </t>
  </si>
  <si>
    <t>Operating + Payroll</t>
  </si>
  <si>
    <t>Gross Margin % of Sales</t>
  </si>
  <si>
    <t>Return to Sales Forecast Year 1</t>
  </si>
  <si>
    <t>Return to Starting Point</t>
  </si>
  <si>
    <t>Amortization &amp; Depreciation Schedule</t>
  </si>
  <si>
    <t>Starting Depreciation</t>
  </si>
  <si>
    <t>Additional Depreciation</t>
  </si>
  <si>
    <t>Ending Depreciation</t>
  </si>
  <si>
    <t>See Loan Amortization &amp; Depreciation Schedule</t>
  </si>
  <si>
    <t>Year 1</t>
  </si>
  <si>
    <t>Year 2</t>
  </si>
  <si>
    <t>Year 3</t>
  </si>
  <si>
    <t>+ Prepaid Expenses</t>
  </si>
  <si>
    <t>+ Accounts Receivable</t>
  </si>
  <si>
    <t xml:space="preserve">- Accounts Payable </t>
  </si>
  <si>
    <t>- Accrued Expenses</t>
  </si>
  <si>
    <t>Additional Fixed Assets Purchases</t>
  </si>
  <si>
    <t>Income Tax Assumptions</t>
  </si>
  <si>
    <t xml:space="preserve">Line of Credit </t>
  </si>
  <si>
    <t>Cell D 42 must equal cell C31</t>
  </si>
  <si>
    <t>Amortization of Start-Up Costs</t>
  </si>
  <si>
    <t>Wage Base Limit</t>
  </si>
  <si>
    <t>--</t>
  </si>
  <si>
    <t>Operating Activities</t>
  </si>
  <si>
    <t>Prepaid Expenses</t>
  </si>
  <si>
    <t>Dividends Paid</t>
  </si>
  <si>
    <t>Equity</t>
  </si>
  <si>
    <t>Common Stock</t>
  </si>
  <si>
    <t>Retained Earnings</t>
  </si>
  <si>
    <t>LIABILITIES &amp; EQUITY</t>
  </si>
  <si>
    <t>Real Estate -- Land</t>
  </si>
  <si>
    <t>Current Assets</t>
  </si>
  <si>
    <t xml:space="preserve">Other </t>
  </si>
  <si>
    <t>Other Expense 1</t>
  </si>
  <si>
    <t>Other Expense 2</t>
  </si>
  <si>
    <t>Accounts Payable</t>
  </si>
  <si>
    <t>Accounts Payable (A/P)</t>
  </si>
  <si>
    <t>Percent of Collections</t>
  </si>
  <si>
    <t>Paid within 30 days</t>
  </si>
  <si>
    <t>Paid between 30 and 60 days</t>
  </si>
  <si>
    <t>Paid in more than 60 days</t>
  </si>
  <si>
    <t>Percent of Disbursements</t>
  </si>
  <si>
    <t>Bad Debt Expense</t>
  </si>
  <si>
    <t>Line of Credit</t>
  </si>
  <si>
    <t>Accounts Receivable</t>
  </si>
  <si>
    <t>New Fixed Asset Purchases</t>
  </si>
  <si>
    <t>Additional Inventory</t>
  </si>
  <si>
    <t>Amortization Period in Years</t>
  </si>
  <si>
    <t>Other Initial Costs</t>
  </si>
  <si>
    <t>Total Expensed each Year</t>
  </si>
  <si>
    <t>Amount Amortized</t>
  </si>
  <si>
    <t>Amortized Start-up Expenses</t>
  </si>
  <si>
    <t>Commercial Loan Balance</t>
  </si>
  <si>
    <t>Commercial Mortgage Balance</t>
  </si>
  <si>
    <t>Credit Card Debt Balance</t>
  </si>
  <si>
    <t>Vehicle Loans Balance</t>
  </si>
  <si>
    <t>Other Bank Debt Balance</t>
  </si>
  <si>
    <t>(Less Accumulated Depreciation)</t>
  </si>
  <si>
    <t>Income Tax Calculations</t>
  </si>
  <si>
    <t>Monthly Taxable Income</t>
  </si>
  <si>
    <t>Dividends Dispersed/Owners Draw</t>
  </si>
  <si>
    <t>Estimated Pay/Month (Total)</t>
  </si>
  <si>
    <t>Estimated Taxes &amp; Benefits/Month (Total)</t>
  </si>
  <si>
    <t>This should equal 100%  ----&gt;</t>
  </si>
  <si>
    <t>Monthly Breakeven Amount</t>
  </si>
  <si>
    <t>Debt-Service Coverage Ratio - DSCR</t>
  </si>
  <si>
    <t>Debt-Service Coverage</t>
  </si>
  <si>
    <t>Line of Credit Drawdowns</t>
  </si>
  <si>
    <t>Does the Year 1 Balance Sheet Balance?</t>
  </si>
  <si>
    <t>Do Sales Exceed the Breakeven Level?</t>
  </si>
  <si>
    <t>Net Profit/Loss</t>
  </si>
  <si>
    <t>Month 1</t>
  </si>
  <si>
    <t>Month 2</t>
  </si>
  <si>
    <t>Month 3</t>
  </si>
  <si>
    <t>Month 4</t>
  </si>
  <si>
    <t>Month 5</t>
  </si>
  <si>
    <t>Month 6</t>
  </si>
  <si>
    <t>Month 7</t>
  </si>
  <si>
    <t>Month 8</t>
  </si>
  <si>
    <t>Month 9</t>
  </si>
  <si>
    <t>Month 10</t>
  </si>
  <si>
    <t>Month 11</t>
  </si>
  <si>
    <t>Month 12</t>
  </si>
  <si>
    <t>Total</t>
  </si>
  <si>
    <t>Operating Expenses Year 1</t>
  </si>
  <si>
    <t>Operating Expenses Years 1-3</t>
  </si>
  <si>
    <t>Additional Inputs</t>
  </si>
  <si>
    <t>Accounts Receivable (A/R) Days Sales Outstanding</t>
  </si>
  <si>
    <t>Cash Flow Forecast Year 1</t>
  </si>
  <si>
    <t>Income Statement Years 1-3</t>
  </si>
  <si>
    <t>Income Statement Year 1</t>
  </si>
  <si>
    <t>Balance Sheet Years 1-3</t>
  </si>
  <si>
    <t>Ending Deprecation</t>
  </si>
  <si>
    <t>Total Amortized</t>
  </si>
  <si>
    <t>Cash Flow Forecast Years 1-3</t>
  </si>
  <si>
    <t>Payroll Year 1</t>
  </si>
  <si>
    <t>Estimated Hrs./Week (per person)</t>
  </si>
  <si>
    <t>Miscellaneous</t>
  </si>
  <si>
    <t>Cumulative Taxable Income</t>
  </si>
  <si>
    <t>Average Hourly Pay (to 2 decimal places, ex. $15.23)</t>
  </si>
  <si>
    <t>Income Taxes</t>
  </si>
  <si>
    <t>Taxable Amount Year 2</t>
  </si>
  <si>
    <t>Taxable Amount Year 3</t>
  </si>
  <si>
    <t>Income (Before Other Expenses)</t>
  </si>
  <si>
    <t>Yearly Breakeven Amount</t>
  </si>
  <si>
    <t>Breakeven Analysis Year 1</t>
  </si>
  <si>
    <t>Real Estate-Buildings</t>
  </si>
  <si>
    <t>Real Estate</t>
  </si>
  <si>
    <t>Real Estate -- Buildings</t>
  </si>
  <si>
    <t>Not Depreciated</t>
  </si>
  <si>
    <t>Effective Income Tax Rate - Year 1</t>
  </si>
  <si>
    <t>Effective Income Tax Rate - Year 2</t>
  </si>
  <si>
    <t>Effective Income Tax Rate - Year 3</t>
  </si>
  <si>
    <t>Infants</t>
  </si>
  <si>
    <t>2 - 3 Year Olds</t>
  </si>
  <si>
    <t>1 - 2 Year Olds</t>
  </si>
  <si>
    <t>3 - 4 Year Olds</t>
  </si>
  <si>
    <t>4 - 5 Year Olds</t>
  </si>
  <si>
    <t>ENROLLMENTS</t>
  </si>
  <si>
    <t>Numbers of  Children Enrolled</t>
  </si>
  <si>
    <t>Numbers of Children Enrolled</t>
  </si>
  <si>
    <t xml:space="preserve">Numbers of Children Enrolled </t>
  </si>
  <si>
    <t>Average Weekly Fee Per Child Per Program</t>
  </si>
  <si>
    <t>Total Fees</t>
  </si>
  <si>
    <t>Center / Homebased Business Name:</t>
  </si>
  <si>
    <t xml:space="preserve"> </t>
  </si>
  <si>
    <t>Before/Aftercare</t>
  </si>
  <si>
    <t>VPK Wrap</t>
  </si>
  <si>
    <t xml:space="preserve">VPK </t>
  </si>
  <si>
    <t># Children per teacher</t>
  </si>
  <si>
    <t>Payroll taxes - use 10% of hourly rates as a rough estimate</t>
  </si>
  <si>
    <t># Teachers needed</t>
  </si>
  <si>
    <t>Teacher's hourly rate</t>
  </si>
  <si>
    <t>Hours per week</t>
  </si>
  <si>
    <t>Total Teacher Compensation</t>
  </si>
  <si>
    <t>Difference</t>
  </si>
  <si>
    <t>Business Name:</t>
  </si>
  <si>
    <t>INCOME</t>
  </si>
  <si>
    <t>TOTAL INCOME</t>
  </si>
  <si>
    <t>EXPENSES</t>
  </si>
  <si>
    <t>Childcare</t>
  </si>
  <si>
    <t>Childcare Supplies</t>
  </si>
  <si>
    <t>Food</t>
  </si>
  <si>
    <t>Program teacher's compensation</t>
  </si>
  <si>
    <t>Substitutes</t>
  </si>
  <si>
    <t>Program Personnel Professional Development and Training</t>
  </si>
  <si>
    <t xml:space="preserve">Staff CEU's and other annual accreditation fees </t>
  </si>
  <si>
    <t>School accreditation fees</t>
  </si>
  <si>
    <t>Curriculum / Instructional Programs</t>
  </si>
  <si>
    <t>Administration</t>
  </si>
  <si>
    <t>Office Supplies</t>
  </si>
  <si>
    <t>Management Compensation</t>
  </si>
  <si>
    <t>Administrative Compensation</t>
  </si>
  <si>
    <t>`</t>
  </si>
  <si>
    <t>Advertising, Marketing and Promotions</t>
  </si>
  <si>
    <t>Website &amp; Social Media</t>
  </si>
  <si>
    <t>Insurance: Business/Liability/Real Estate</t>
  </si>
  <si>
    <t>Accounting/Legal</t>
  </si>
  <si>
    <t>Printing</t>
  </si>
  <si>
    <t>Postage</t>
  </si>
  <si>
    <t>Dues &amp; Subscriptions</t>
  </si>
  <si>
    <t>License</t>
  </si>
  <si>
    <t>Mileage and Gas</t>
  </si>
  <si>
    <t>Car, Van Lease or Payment</t>
  </si>
  <si>
    <t>Consulting Fees</t>
  </si>
  <si>
    <t>Facility</t>
  </si>
  <si>
    <t>Electricity</t>
  </si>
  <si>
    <t>Telephone</t>
  </si>
  <si>
    <t>Repairs/Maintenance</t>
  </si>
  <si>
    <t>Rent / Mortgage</t>
  </si>
  <si>
    <t>TOTAL EXPENSES</t>
  </si>
  <si>
    <t>PROFIT (LOSS) BEFORE TAXES</t>
  </si>
  <si>
    <t>INCOME TAXES</t>
  </si>
  <si>
    <t>NET PROFIT (LOSS)</t>
  </si>
  <si>
    <t>Total Fees (Annual Revenue)</t>
  </si>
  <si>
    <t>Total Monthly Revenue per child</t>
  </si>
  <si>
    <t>Weeks per month</t>
  </si>
  <si>
    <t>Sep</t>
  </si>
  <si>
    <t>Oct</t>
  </si>
  <si>
    <t>Nov</t>
  </si>
  <si>
    <t>Dec</t>
  </si>
  <si>
    <t>Jan</t>
  </si>
  <si>
    <t>Feb</t>
  </si>
  <si>
    <t>Mar</t>
  </si>
  <si>
    <t>Apr</t>
  </si>
  <si>
    <t>May</t>
  </si>
  <si>
    <t>Jun</t>
  </si>
  <si>
    <t>Jul</t>
  </si>
  <si>
    <t xml:space="preserve">Enter data into shaded cells only. </t>
  </si>
  <si>
    <t>Teacher Pay Calculator</t>
  </si>
  <si>
    <t>Pay as % rev</t>
  </si>
  <si>
    <t>White cells are locked to protect their calculations. Password is 1234</t>
  </si>
  <si>
    <t>Classrooms</t>
  </si>
  <si>
    <t>4</t>
  </si>
  <si>
    <t>6</t>
  </si>
  <si>
    <t>11</t>
  </si>
  <si>
    <t>15</t>
  </si>
  <si>
    <t>20</t>
  </si>
  <si>
    <t>25</t>
  </si>
  <si>
    <t>Camp</t>
  </si>
  <si>
    <t>Sample Child/Teacher Ratios</t>
  </si>
  <si>
    <t>Fee Unit:       1 child</t>
  </si>
  <si>
    <t>CLASSROOMS                              (See example in column I)</t>
  </si>
  <si>
    <t># Children per teacher           (See Column J)</t>
  </si>
  <si>
    <t>10 month classroom revenue difference</t>
  </si>
  <si>
    <t>Every child at full rate - classroom revenue</t>
  </si>
  <si>
    <t>Average Weekly Rate/child</t>
  </si>
  <si>
    <t>Monthly     Rate</t>
  </si>
  <si>
    <t>Weekly rate</t>
  </si>
  <si>
    <t>Advertised or full rate per child/week</t>
  </si>
  <si>
    <t>Enter Your</t>
  </si>
  <si>
    <t>School's</t>
  </si>
  <si>
    <t>Examples</t>
  </si>
  <si>
    <t>ratios.</t>
  </si>
  <si>
    <t>Avg Wkly Rate as a % of Full Wkly Rate</t>
  </si>
  <si>
    <t>Monthly revenue difference avg. vs. full rate</t>
  </si>
  <si>
    <t xml:space="preserve"> example - Infants, Toddlers 3-4 yr. olds, etc.</t>
  </si>
  <si>
    <t>Name of child</t>
  </si>
  <si>
    <t>Total # children</t>
  </si>
  <si>
    <t>Classroom Monthly Revenue</t>
  </si>
  <si>
    <t>Average Monthly Revenue/child</t>
  </si>
  <si>
    <t>Enrollment Forecast</t>
  </si>
  <si>
    <t>Bank fees/Interest</t>
  </si>
  <si>
    <t>Tuition Calculator by Child</t>
  </si>
  <si>
    <t xml:space="preserve">Classroom/Service Category </t>
  </si>
  <si>
    <t xml:space="preserve">Inset this amount into the right cell for this classroom/service </t>
  </si>
  <si>
    <t>Instructions: Cell "B3" type in your name for the classroom or service.</t>
  </si>
  <si>
    <t>Cell "B4" type in your full rate for the classroom or service</t>
  </si>
  <si>
    <t>Cells A7-A25 type in each child's name in this classroom/service</t>
  </si>
  <si>
    <t>Cells "B7-B25" type in the weekly fee you charge the child in column A</t>
  </si>
  <si>
    <r>
      <t>In</t>
    </r>
    <r>
      <rPr>
        <u/>
        <sz val="11"/>
        <color theme="1"/>
        <rFont val="Calibri"/>
        <family val="2"/>
        <scheme val="minor"/>
      </rPr>
      <t xml:space="preserve"> Column "D" </t>
    </r>
    <r>
      <rPr>
        <sz val="11"/>
        <color theme="1"/>
        <rFont val="Calibri"/>
        <family val="2"/>
        <scheme val="minor"/>
      </rPr>
      <t>-</t>
    </r>
    <r>
      <rPr>
        <u/>
        <sz val="11"/>
        <color theme="1"/>
        <rFont val="Calibri"/>
        <family val="2"/>
        <scheme val="minor"/>
      </rPr>
      <t xml:space="preserve"> Avg. Weekly Rate</t>
    </r>
    <r>
      <rPr>
        <sz val="11"/>
        <color theme="1"/>
        <rFont val="Calibri"/>
        <family val="2"/>
        <scheme val="minor"/>
      </rPr>
      <t xml:space="preserve"> in </t>
    </r>
    <r>
      <rPr>
        <u/>
        <sz val="11"/>
        <color theme="1"/>
        <rFont val="Calibri"/>
        <family val="2"/>
        <scheme val="minor"/>
      </rPr>
      <t>SalesforecastYear1</t>
    </r>
    <r>
      <rPr>
        <sz val="11"/>
        <color theme="1"/>
        <rFont val="Calibri"/>
        <family val="2"/>
        <scheme val="minor"/>
      </rPr>
      <t xml:space="preserve"> tab</t>
    </r>
  </si>
  <si>
    <t>Classroom or program 10</t>
  </si>
  <si>
    <t>Classroom or program 11</t>
  </si>
  <si>
    <t>Classroom or program 12</t>
  </si>
  <si>
    <t>Classroom or program 13</t>
  </si>
  <si>
    <t>Classroom or program 14</t>
  </si>
  <si>
    <t xml:space="preserve">Total Classroom Tuition </t>
  </si>
  <si>
    <t>Tuition  minus Teacher Compensation</t>
  </si>
  <si>
    <t>Teacher Compensation</t>
  </si>
  <si>
    <t>Compensation</t>
  </si>
  <si>
    <t>Occupancy</t>
  </si>
  <si>
    <t>All Other Expenses</t>
  </si>
  <si>
    <t>Staff Salaries</t>
  </si>
  <si>
    <t>Fringe Benefits</t>
  </si>
  <si>
    <t>% Revenue</t>
  </si>
  <si>
    <t>Page 49</t>
  </si>
  <si>
    <t>Profit</t>
  </si>
  <si>
    <t>Owner</t>
  </si>
  <si>
    <t>Staff</t>
  </si>
  <si>
    <t>Other Exp</t>
  </si>
  <si>
    <t>Rules of Thumb</t>
  </si>
  <si>
    <t>Rent</t>
  </si>
  <si>
    <t>BLI MC Booklet</t>
  </si>
  <si>
    <t xml:space="preserve">  </t>
  </si>
  <si>
    <t>Staff Compensation Maximum</t>
  </si>
  <si>
    <t>Owner Compensation</t>
  </si>
  <si>
    <t>Occupancy (Rent + Utilities)</t>
  </si>
  <si>
    <t>Aug</t>
  </si>
  <si>
    <t>Profit/Loss</t>
  </si>
  <si>
    <t>Expense totals</t>
  </si>
  <si>
    <t>Water</t>
  </si>
  <si>
    <t>Facility Expenses:</t>
  </si>
  <si>
    <t>Loan - Principal &amp; Interest</t>
  </si>
  <si>
    <t>Insurances</t>
  </si>
  <si>
    <t>Advertising &amp; Marketing</t>
  </si>
  <si>
    <t>Administrative Expenses</t>
  </si>
  <si>
    <t>Curriculum</t>
  </si>
  <si>
    <t>Staff Training</t>
  </si>
  <si>
    <t>Teacher's compensation</t>
  </si>
  <si>
    <t>Child Care Expenses:</t>
  </si>
  <si>
    <t>Total Income</t>
  </si>
  <si>
    <t>Subsudy</t>
  </si>
  <si>
    <t>Loan</t>
  </si>
  <si>
    <t xml:space="preserve">USDA Food Subsidy </t>
  </si>
  <si>
    <t>Registration Fees</t>
  </si>
  <si>
    <t>Classroom or service 11</t>
  </si>
  <si>
    <t>Classroom or service 10</t>
  </si>
  <si>
    <t>Classroom or service 9</t>
  </si>
  <si>
    <t>Classroom or service 8</t>
  </si>
  <si>
    <t>Classroom or service 7</t>
  </si>
  <si>
    <t>Classroom or service 6</t>
  </si>
  <si>
    <t>Classroom or service 5</t>
  </si>
  <si>
    <t>Income</t>
  </si>
  <si>
    <t>+/-</t>
  </si>
  <si>
    <t>Actual</t>
  </si>
  <si>
    <t>Budgeted</t>
  </si>
  <si>
    <t>Annual</t>
  </si>
  <si>
    <r>
      <rPr>
        <b/>
        <sz val="14"/>
        <color rgb="FFFF0000"/>
        <rFont val="Bookman Old Style"/>
        <family val="1"/>
      </rPr>
      <t>Unp</t>
    </r>
    <r>
      <rPr>
        <b/>
        <sz val="14"/>
        <color rgb="FFFF0000"/>
        <rFont val="Arial"/>
        <family val="2"/>
      </rPr>
      <t>rotect = 1234</t>
    </r>
  </si>
  <si>
    <t>Classroom or service 2</t>
  </si>
  <si>
    <t>Classroom or service 3</t>
  </si>
  <si>
    <t>Classroom or service 4</t>
  </si>
  <si>
    <t xml:space="preserve"> CEU's/accreditation fees </t>
  </si>
  <si>
    <t>password for "unlock worksheet" is 1234</t>
  </si>
  <si>
    <t>Registration Fee</t>
  </si>
  <si>
    <t>Field Trips &amp; events</t>
  </si>
  <si>
    <t>Admin &amp; bus driver</t>
  </si>
  <si>
    <t>Teacher  1</t>
  </si>
  <si>
    <t>Hr. Rate</t>
  </si>
  <si>
    <t># Hrs.</t>
  </si>
  <si>
    <t>Weekly</t>
  </si>
  <si>
    <t xml:space="preserve">Average </t>
  </si>
  <si>
    <t>Hrs</t>
  </si>
  <si>
    <t>Calculator for classroom with more than 1 teacher at different pay rates</t>
  </si>
  <si>
    <t>Teacher/Aide 2</t>
  </si>
  <si>
    <t>Sept</t>
  </si>
  <si>
    <t>USDA Food program</t>
  </si>
  <si>
    <t>Management</t>
  </si>
  <si>
    <t xml:space="preserve"> Aug</t>
  </si>
  <si>
    <t>Classroom or program 1</t>
  </si>
  <si>
    <t>Classroom or program 2</t>
  </si>
  <si>
    <t>Classroom or program 3</t>
  </si>
  <si>
    <t>Classroom or program 4</t>
  </si>
  <si>
    <t>Classroom or program 5</t>
  </si>
  <si>
    <t>Classroom or program 6</t>
  </si>
  <si>
    <t>Classroom or program 7</t>
  </si>
  <si>
    <t>Classroom or program 8</t>
  </si>
  <si>
    <t>Classroom or program 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</si>
</sst>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
    <numFmt numFmtId="167" formatCode="0_);[Red]\(0\)"/>
    <numFmt numFmtId="168" formatCode="&quot;$&quot;#,##0.00"/>
    <numFmt numFmtId="169" formatCode="0.0"/>
    <numFmt numFmtId="170" formatCode="_(* #,##0.00_);_(* \(#,##0.00\);_(* &quot;-&quot;_);_(@_)"/>
    <numFmt numFmtId="171" formatCode="0;\-0;;@"/>
  </numFmts>
  <fonts count="109" x14ac:knownFonts="1">
    <font>
      <sz val="11"/>
      <color theme="1"/>
      <name val="Calibri"/>
      <family val="2"/>
      <scheme val="minor"/>
    </font>
    <font>
      <sz val="11"/>
      <name val="Arial"/>
      <family val="2"/>
    </font>
    <font>
      <b/>
      <sz val="18"/>
      <name val="Arial"/>
      <family val="2"/>
    </font>
    <font>
      <sz val="8"/>
      <name val="Calibri"/>
      <family val="2"/>
    </font>
    <font>
      <sz val="9"/>
      <color indexed="81"/>
      <name val="Tahoma"/>
      <family val="2"/>
    </font>
    <font>
      <b/>
      <sz val="9"/>
      <color indexed="81"/>
      <name val="Tahoma"/>
      <family val="2"/>
    </font>
    <font>
      <sz val="11"/>
      <color indexed="8"/>
      <name val="Gill Sans MT"/>
      <family val="2"/>
    </font>
    <font>
      <sz val="9"/>
      <name val="Gill Sans MT"/>
      <family val="2"/>
    </font>
    <font>
      <sz val="11"/>
      <name val="Gill Sans MT"/>
      <family val="2"/>
    </font>
    <font>
      <b/>
      <sz val="9"/>
      <name val="Gill Sans MT"/>
      <family val="2"/>
    </font>
    <font>
      <b/>
      <sz val="9"/>
      <color indexed="10"/>
      <name val="Gill Sans MT"/>
      <family val="2"/>
    </font>
    <font>
      <b/>
      <sz val="11"/>
      <color indexed="81"/>
      <name val="Gill Sans MT"/>
      <family val="2"/>
    </font>
    <font>
      <sz val="11"/>
      <color indexed="8"/>
      <name val="Calibri"/>
      <family val="2"/>
    </font>
    <font>
      <sz val="11"/>
      <color indexed="8"/>
      <name val="Gill Sans MT"/>
      <family val="2"/>
    </font>
    <font>
      <b/>
      <sz val="11"/>
      <color indexed="8"/>
      <name val="Gill Sans MT"/>
      <family val="2"/>
    </font>
    <font>
      <sz val="9"/>
      <color indexed="8"/>
      <name val="Gill Sans MT"/>
      <family val="2"/>
    </font>
    <font>
      <b/>
      <sz val="9"/>
      <color indexed="9"/>
      <name val="Gill Sans MT"/>
      <family val="2"/>
    </font>
    <font>
      <sz val="9"/>
      <color indexed="9"/>
      <name val="Gill Sans MT"/>
      <family val="2"/>
    </font>
    <font>
      <sz val="11"/>
      <color indexed="81"/>
      <name val="Gill Sans MT"/>
      <family val="2"/>
    </font>
    <font>
      <b/>
      <sz val="8"/>
      <color indexed="81"/>
      <name val="Tahoma"/>
      <family val="2"/>
    </font>
    <font>
      <u/>
      <sz val="11"/>
      <color theme="10"/>
      <name val="Calibri"/>
      <family val="2"/>
      <scheme val="minor"/>
    </font>
    <font>
      <b/>
      <sz val="9"/>
      <name val="Arial"/>
      <family val="2"/>
    </font>
    <font>
      <sz val="9"/>
      <name val="Arial"/>
      <family val="2"/>
    </font>
    <font>
      <b/>
      <sz val="11"/>
      <color indexed="81"/>
      <name val="Arial Black"/>
      <family val="2"/>
    </font>
    <font>
      <b/>
      <sz val="9"/>
      <color indexed="8"/>
      <name val="Gill Sans MT"/>
      <family val="2"/>
    </font>
    <font>
      <b/>
      <sz val="9"/>
      <color indexed="57"/>
      <name val="Gill Sans MT"/>
      <family val="2"/>
    </font>
    <font>
      <sz val="9"/>
      <color theme="1"/>
      <name val="Gill Sans MT"/>
      <family val="2"/>
    </font>
    <font>
      <b/>
      <i/>
      <sz val="9"/>
      <color indexed="8"/>
      <name val="Gill Sans MT"/>
      <family val="2"/>
    </font>
    <font>
      <u/>
      <sz val="9"/>
      <name val="Calibri"/>
      <family val="2"/>
    </font>
    <font>
      <sz val="9"/>
      <color indexed="30"/>
      <name val="Gill Sans MT"/>
      <family val="2"/>
    </font>
    <font>
      <sz val="9"/>
      <color indexed="57"/>
      <name val="Gill Sans MT"/>
      <family val="2"/>
    </font>
    <font>
      <b/>
      <sz val="7"/>
      <name val="Gill Sans MT"/>
      <family val="2"/>
    </font>
    <font>
      <sz val="9"/>
      <name val="Calibri"/>
      <family val="2"/>
      <scheme val="minor"/>
    </font>
    <font>
      <u/>
      <sz val="9"/>
      <color indexed="9"/>
      <name val="Gill Sans MT"/>
      <family val="2"/>
    </font>
    <font>
      <u/>
      <sz val="9"/>
      <name val="Gill Sans MT"/>
      <family val="2"/>
    </font>
    <font>
      <sz val="9"/>
      <color indexed="10"/>
      <name val="Gill Sans MT"/>
      <family val="2"/>
    </font>
    <font>
      <b/>
      <sz val="9"/>
      <color indexed="11"/>
      <name val="Gill Sans MT"/>
      <family val="2"/>
    </font>
    <font>
      <b/>
      <sz val="11"/>
      <name val="Gill Sans MT"/>
      <family val="2"/>
    </font>
    <font>
      <b/>
      <sz val="9"/>
      <color rgb="FF44C8F5"/>
      <name val="Gill Sans MT"/>
      <family val="2"/>
    </font>
    <font>
      <b/>
      <sz val="11"/>
      <color theme="3"/>
      <name val="Gill Sans MT"/>
      <family val="2"/>
    </font>
    <font>
      <b/>
      <sz val="9"/>
      <color theme="3"/>
      <name val="Gill Sans MT"/>
      <family val="2"/>
    </font>
    <font>
      <sz val="9"/>
      <color theme="3"/>
      <name val="Gill Sans MT"/>
      <family val="2"/>
    </font>
    <font>
      <sz val="10"/>
      <color indexed="8"/>
      <name val="Gill Sans MT"/>
      <family val="2"/>
    </font>
    <font>
      <b/>
      <sz val="10"/>
      <name val="Gill Sans MT"/>
      <family val="2"/>
    </font>
    <font>
      <b/>
      <sz val="10"/>
      <color indexed="57"/>
      <name val="Gill Sans MT"/>
      <family val="2"/>
    </font>
    <font>
      <b/>
      <sz val="10"/>
      <color indexed="8"/>
      <name val="Gill Sans MT"/>
      <family val="2"/>
    </font>
    <font>
      <sz val="10"/>
      <name val="Gill Sans MT"/>
      <family val="2"/>
    </font>
    <font>
      <b/>
      <sz val="10"/>
      <color theme="3"/>
      <name val="Gill Sans MT"/>
      <family val="2"/>
    </font>
    <font>
      <b/>
      <sz val="10"/>
      <color indexed="9"/>
      <name val="Gill Sans MT"/>
      <family val="2"/>
    </font>
    <font>
      <b/>
      <sz val="10"/>
      <color indexed="10"/>
      <name val="Gill Sans MT"/>
      <family val="2"/>
    </font>
    <font>
      <u/>
      <sz val="10"/>
      <name val="Calibri"/>
      <family val="2"/>
    </font>
    <font>
      <b/>
      <sz val="10"/>
      <color indexed="12"/>
      <name val="Gill Sans MT"/>
      <family val="2"/>
    </font>
    <font>
      <b/>
      <sz val="10"/>
      <color indexed="10"/>
      <name val="Arial"/>
      <family val="2"/>
    </font>
    <font>
      <sz val="11"/>
      <color theme="1"/>
      <name val="Calibri"/>
      <family val="2"/>
      <scheme val="minor"/>
    </font>
    <font>
      <sz val="11"/>
      <color theme="0"/>
      <name val="Gill Sans MT"/>
      <family val="2"/>
    </font>
    <font>
      <sz val="10"/>
      <color theme="0"/>
      <name val="Arial"/>
      <family val="2"/>
    </font>
    <font>
      <sz val="9"/>
      <color theme="0"/>
      <name val="Gill Sans MT"/>
      <family val="2"/>
    </font>
    <font>
      <b/>
      <sz val="9"/>
      <color theme="0"/>
      <name val="Gill Sans MT"/>
      <family val="2"/>
    </font>
    <font>
      <sz val="11"/>
      <color theme="1"/>
      <name val="Gill Sans MT"/>
      <family val="2"/>
    </font>
    <font>
      <sz val="10"/>
      <color indexed="81"/>
      <name val="Gill Sans MT"/>
      <family val="2"/>
    </font>
    <font>
      <b/>
      <sz val="12"/>
      <name val="Gill Sans MT"/>
      <family val="2"/>
    </font>
    <font>
      <u/>
      <sz val="11"/>
      <color theme="11"/>
      <name val="Calibri"/>
      <family val="2"/>
      <scheme val="minor"/>
    </font>
    <font>
      <sz val="10"/>
      <name val="Arial"/>
      <family val="2"/>
    </font>
    <font>
      <b/>
      <sz val="12"/>
      <name val="Arial"/>
      <family val="2"/>
    </font>
    <font>
      <sz val="16"/>
      <name val="Arial"/>
      <family val="2"/>
    </font>
    <font>
      <sz val="12"/>
      <name val="Arial"/>
      <family val="2"/>
    </font>
    <font>
      <sz val="12"/>
      <color theme="0" tint="-0.249977111117893"/>
      <name val="Arial"/>
      <family val="2"/>
    </font>
    <font>
      <sz val="16"/>
      <color theme="0" tint="-0.249977111117893"/>
      <name val="Arial"/>
      <family val="2"/>
    </font>
    <font>
      <b/>
      <sz val="9"/>
      <color indexed="8"/>
      <name val="Gill Sans MT"/>
      <family val="2"/>
    </font>
    <font>
      <b/>
      <sz val="9"/>
      <name val="Gill Sans MT"/>
      <family val="2"/>
    </font>
    <font>
      <b/>
      <sz val="11"/>
      <color rgb="FFFF0000"/>
      <name val="Gill Sans MT"/>
      <family val="2"/>
    </font>
    <font>
      <b/>
      <u/>
      <sz val="11"/>
      <color rgb="FFFF0000"/>
      <name val="Calibri"/>
      <family val="2"/>
    </font>
    <font>
      <b/>
      <sz val="12"/>
      <name val="Gill Sans MT"/>
      <family val="2"/>
    </font>
    <font>
      <b/>
      <sz val="9"/>
      <color rgb="FFFF0000"/>
      <name val="Gill Sans MT"/>
      <family val="2"/>
    </font>
    <font>
      <b/>
      <sz val="9"/>
      <color rgb="FFFF0000"/>
      <name val="Gill Sans MT"/>
      <family val="2"/>
    </font>
    <font>
      <b/>
      <sz val="11"/>
      <color theme="1"/>
      <name val="Calibri"/>
      <family val="2"/>
      <scheme val="minor"/>
    </font>
    <font>
      <sz val="11"/>
      <name val="Calibri"/>
      <family val="2"/>
      <scheme val="minor"/>
    </font>
    <font>
      <sz val="12"/>
      <color indexed="8"/>
      <name val="Gill Sans MT"/>
      <family val="2"/>
    </font>
    <font>
      <sz val="11"/>
      <color rgb="FFFF0000"/>
      <name val="Calibri"/>
      <family val="2"/>
      <scheme val="minor"/>
    </font>
    <font>
      <b/>
      <sz val="11"/>
      <color rgb="FFFF0000"/>
      <name val="Calibri"/>
      <family val="2"/>
      <scheme val="minor"/>
    </font>
    <font>
      <b/>
      <sz val="16"/>
      <color theme="1"/>
      <name val="Calibri"/>
      <family val="2"/>
      <scheme val="minor"/>
    </font>
    <font>
      <b/>
      <sz val="18"/>
      <name val="Gill Sans MT"/>
      <family val="2"/>
    </font>
    <font>
      <u/>
      <sz val="11"/>
      <color theme="1"/>
      <name val="Calibri"/>
      <family val="2"/>
      <scheme val="minor"/>
    </font>
    <font>
      <sz val="16"/>
      <color theme="1"/>
      <name val="Calibri"/>
      <family val="2"/>
      <scheme val="minor"/>
    </font>
    <font>
      <sz val="10"/>
      <name val="Tahoma"/>
      <family val="2"/>
    </font>
    <font>
      <b/>
      <sz val="13"/>
      <name val="Tahoma"/>
      <family val="2"/>
    </font>
    <font>
      <sz val="13"/>
      <name val="Tahoma"/>
      <family val="2"/>
    </font>
    <font>
      <b/>
      <sz val="13"/>
      <color indexed="10"/>
      <name val="Bookman Old Style"/>
      <family val="1"/>
    </font>
    <font>
      <sz val="10"/>
      <color indexed="10"/>
      <name val="Tahoma"/>
      <family val="2"/>
    </font>
    <font>
      <b/>
      <sz val="16"/>
      <name val="Tahoma"/>
      <family val="2"/>
    </font>
    <font>
      <b/>
      <sz val="16"/>
      <color rgb="FF0070C0"/>
      <name val="Tahoma"/>
      <family val="2"/>
    </font>
    <font>
      <b/>
      <sz val="12"/>
      <color indexed="9"/>
      <name val="Tahoma"/>
      <family val="2"/>
    </font>
    <font>
      <b/>
      <sz val="12"/>
      <color indexed="9"/>
      <name val="Arial"/>
      <family val="2"/>
    </font>
    <font>
      <b/>
      <sz val="14"/>
      <color rgb="FFFF0000"/>
      <name val="Bookman Old Style"/>
      <family val="1"/>
    </font>
    <font>
      <b/>
      <sz val="14"/>
      <color rgb="FFFF0000"/>
      <name val="Arial"/>
      <family val="2"/>
    </font>
    <font>
      <sz val="11"/>
      <name val="Tahoma"/>
      <family val="2"/>
    </font>
    <font>
      <b/>
      <sz val="11"/>
      <name val="Tahoma"/>
      <family val="2"/>
    </font>
    <font>
      <b/>
      <sz val="20"/>
      <color indexed="9"/>
      <name val="Tahoma"/>
      <family val="2"/>
    </font>
    <font>
      <sz val="14"/>
      <name val="Arial"/>
      <family val="2"/>
    </font>
    <font>
      <b/>
      <sz val="14"/>
      <name val="Tahoma"/>
      <family val="2"/>
    </font>
    <font>
      <sz val="14"/>
      <name val="Tahoma"/>
      <family val="2"/>
    </font>
    <font>
      <b/>
      <sz val="14"/>
      <name val="Arial"/>
      <family val="2"/>
    </font>
    <font>
      <b/>
      <sz val="14"/>
      <color indexed="10"/>
      <name val="Bookman Old Style"/>
      <family val="1"/>
    </font>
    <font>
      <sz val="8"/>
      <name val="Calibri"/>
      <family val="2"/>
      <scheme val="minor"/>
    </font>
    <font>
      <sz val="10"/>
      <color rgb="FFFF0000"/>
      <name val="Arial"/>
      <family val="2"/>
    </font>
    <font>
      <b/>
      <sz val="9"/>
      <color indexed="9"/>
      <name val="Bookman Old Style"/>
      <family val="1"/>
    </font>
    <font>
      <b/>
      <sz val="10"/>
      <color rgb="FF0070C0"/>
      <name val="Arial"/>
      <family val="2"/>
    </font>
    <font>
      <b/>
      <sz val="11"/>
      <color rgb="FF0070C0"/>
      <name val="Arial"/>
      <family val="2"/>
    </font>
    <font>
      <b/>
      <sz val="10"/>
      <name val="Arial"/>
      <family val="2"/>
    </font>
  </fonts>
  <fills count="24">
    <fill>
      <patternFill patternType="none"/>
    </fill>
    <fill>
      <patternFill patternType="gray125"/>
    </fill>
    <fill>
      <patternFill patternType="solid">
        <fgColor indexed="21"/>
      </patternFill>
    </fill>
    <fill>
      <patternFill patternType="solid">
        <fgColor indexed="38"/>
      </patternFill>
    </fill>
    <fill>
      <patternFill patternType="solid">
        <fgColor indexed="9"/>
        <bgColor indexed="9"/>
      </patternFill>
    </fill>
    <fill>
      <patternFill patternType="solid">
        <fgColor indexed="9"/>
        <bgColor indexed="64"/>
      </patternFill>
    </fill>
    <fill>
      <patternFill patternType="solid">
        <fgColor indexed="43"/>
        <bgColor indexed="64"/>
      </patternFill>
    </fill>
    <fill>
      <patternFill patternType="solid">
        <fgColor rgb="FF44C8F5"/>
        <bgColor indexed="64"/>
      </patternFill>
    </fill>
    <fill>
      <patternFill patternType="solid">
        <fgColor rgb="FFFFC95B"/>
        <bgColor indexed="64"/>
      </patternFill>
    </fill>
    <fill>
      <patternFill patternType="solid">
        <fgColor theme="9"/>
        <bgColor indexed="64"/>
      </patternFill>
    </fill>
    <fill>
      <patternFill patternType="solid">
        <fgColor rgb="FF8ACC9E"/>
        <bgColor indexed="64"/>
      </patternFill>
    </fill>
    <fill>
      <patternFill patternType="solid">
        <fgColor theme="4"/>
        <bgColor indexed="64"/>
      </patternFill>
    </fill>
    <fill>
      <patternFill patternType="solid">
        <fgColor theme="0"/>
        <bgColor indexed="64"/>
      </patternFill>
    </fill>
    <fill>
      <patternFill patternType="solid">
        <fgColor rgb="FFF89E53"/>
        <bgColor indexed="64"/>
      </patternFill>
    </fill>
    <fill>
      <patternFill patternType="solid">
        <fgColor theme="0" tint="-0.14999847407452621"/>
        <bgColor indexed="64"/>
      </patternFill>
    </fill>
    <fill>
      <patternFill patternType="solid">
        <fgColor theme="5"/>
        <bgColor indexed="64"/>
      </patternFill>
    </fill>
    <fill>
      <patternFill patternType="solid">
        <fgColor theme="8" tint="0.59999389629810485"/>
        <bgColor indexed="64"/>
      </patternFill>
    </fill>
    <fill>
      <patternFill patternType="solid">
        <fgColor rgb="FFFFC000"/>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indexed="18"/>
        <bgColor indexed="64"/>
      </patternFill>
    </fill>
    <fill>
      <patternFill patternType="solid">
        <fgColor rgb="FFFF0000"/>
        <bgColor indexed="64"/>
      </patternFill>
    </fill>
    <fill>
      <patternFill patternType="solid">
        <fgColor rgb="FF002060"/>
        <bgColor indexed="64"/>
      </patternFill>
    </fill>
  </fills>
  <borders count="6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ck">
        <color theme="3"/>
      </bottom>
      <diagonal/>
    </border>
    <border>
      <left/>
      <right style="thin">
        <color auto="1"/>
      </right>
      <top/>
      <bottom style="thin">
        <color auto="1"/>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thin">
        <color auto="1"/>
      </left>
      <right/>
      <top style="thin">
        <color auto="1"/>
      </top>
      <bottom style="thick">
        <color theme="3"/>
      </bottom>
      <diagonal/>
    </border>
    <border>
      <left/>
      <right/>
      <top style="thin">
        <color auto="1"/>
      </top>
      <bottom style="thick">
        <color theme="3"/>
      </bottom>
      <diagonal/>
    </border>
    <border>
      <left/>
      <right style="medium">
        <color auto="1"/>
      </right>
      <top style="thin">
        <color auto="1"/>
      </top>
      <bottom style="thick">
        <color theme="3"/>
      </bottom>
      <diagonal/>
    </border>
    <border>
      <left style="thin">
        <color auto="1"/>
      </left>
      <right style="thin">
        <color auto="1"/>
      </right>
      <top style="thin">
        <color auto="1"/>
      </top>
      <bottom style="thick">
        <color rgb="FF0070C0"/>
      </bottom>
      <diagonal/>
    </border>
    <border>
      <left style="thin">
        <color auto="1"/>
      </left>
      <right/>
      <top style="thin">
        <color auto="1"/>
      </top>
      <bottom style="thick">
        <color rgb="FF0070C0"/>
      </bottom>
      <diagonal/>
    </border>
    <border>
      <left/>
      <right/>
      <top style="thin">
        <color auto="1"/>
      </top>
      <bottom/>
      <diagonal/>
    </border>
    <border>
      <left/>
      <right style="thin">
        <color auto="1"/>
      </right>
      <top style="thin">
        <color auto="1"/>
      </top>
      <bottom style="thick">
        <color theme="3"/>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medium">
        <color indexed="64"/>
      </top>
      <bottom style="thin">
        <color auto="1"/>
      </bottom>
      <diagonal/>
    </border>
    <border>
      <left style="thin">
        <color auto="1"/>
      </left>
      <right style="medium">
        <color indexed="64"/>
      </right>
      <top style="thin">
        <color auto="1"/>
      </top>
      <bottom/>
      <diagonal/>
    </border>
    <border>
      <left style="medium">
        <color indexed="64"/>
      </left>
      <right style="thin">
        <color auto="1"/>
      </right>
      <top style="thin">
        <color auto="1"/>
      </top>
      <bottom/>
      <diagonal/>
    </border>
    <border>
      <left style="medium">
        <color indexed="64"/>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auto="1"/>
      </left>
      <right style="medium">
        <color indexed="64"/>
      </right>
      <top/>
      <bottom/>
      <diagonal/>
    </border>
    <border>
      <left style="thin">
        <color auto="1"/>
      </left>
      <right style="thin">
        <color auto="1"/>
      </right>
      <top/>
      <bottom/>
      <diagonal/>
    </border>
    <border>
      <left style="medium">
        <color indexed="64"/>
      </left>
      <right style="thin">
        <color auto="1"/>
      </right>
      <top/>
      <bottom/>
      <diagonal/>
    </border>
    <border>
      <left/>
      <right style="thin">
        <color auto="1"/>
      </right>
      <top/>
      <bottom/>
      <diagonal/>
    </border>
    <border>
      <left style="thin">
        <color auto="1"/>
      </left>
      <right style="medium">
        <color indexed="64"/>
      </right>
      <top/>
      <bottom style="thin">
        <color auto="1"/>
      </bottom>
      <diagonal/>
    </border>
    <border>
      <left style="medium">
        <color indexed="64"/>
      </left>
      <right style="thin">
        <color auto="1"/>
      </right>
      <top/>
      <bottom style="thin">
        <color auto="1"/>
      </bottom>
      <diagonal/>
    </border>
    <border>
      <left style="double">
        <color indexed="64"/>
      </left>
      <right style="thin">
        <color indexed="64"/>
      </right>
      <top/>
      <bottom/>
      <diagonal/>
    </border>
    <border>
      <left style="thin">
        <color auto="1"/>
      </left>
      <right style="medium">
        <color indexed="64"/>
      </right>
      <top style="medium">
        <color indexed="64"/>
      </top>
      <bottom/>
      <diagonal/>
    </border>
    <border>
      <left/>
      <right style="thin">
        <color auto="1"/>
      </right>
      <top style="thin">
        <color auto="1"/>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medium">
        <color indexed="64"/>
      </left>
      <right style="thin">
        <color auto="1"/>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medium">
        <color indexed="64"/>
      </right>
      <top style="medium">
        <color indexed="64"/>
      </top>
      <bottom style="thin">
        <color auto="1"/>
      </bottom>
      <diagonal/>
    </border>
  </borders>
  <cellStyleXfs count="15">
    <xf numFmtId="0" fontId="0" fillId="0" borderId="0"/>
    <xf numFmtId="43" fontId="12" fillId="0" borderId="0" applyFont="0" applyFill="0" applyBorder="0" applyAlignment="0" applyProtection="0"/>
    <xf numFmtId="44" fontId="12" fillId="0" borderId="0" applyFont="0" applyFill="0" applyBorder="0" applyAlignment="0" applyProtection="0"/>
    <xf numFmtId="0" fontId="20" fillId="0" borderId="0" applyNumberFormat="0" applyFill="0" applyBorder="0" applyAlignment="0" applyProtection="0"/>
    <xf numFmtId="0" fontId="1" fillId="2" borderId="0"/>
    <xf numFmtId="9" fontId="12" fillId="0" borderId="0" applyFont="0" applyFill="0" applyBorder="0" applyAlignment="0" applyProtection="0"/>
    <xf numFmtId="0" fontId="2" fillId="3" borderId="0"/>
    <xf numFmtId="49" fontId="9" fillId="10" borderId="1" applyProtection="0">
      <alignment wrapText="1"/>
    </xf>
    <xf numFmtId="1" fontId="8" fillId="11" borderId="15" applyAlignment="0" applyProtection="0"/>
    <xf numFmtId="1" fontId="37" fillId="9" borderId="15" applyAlignment="0" applyProtection="0"/>
    <xf numFmtId="43" fontId="53" fillId="0" borderId="0" applyFont="0" applyFill="0" applyBorder="0" applyAlignment="0" applyProtection="0"/>
    <xf numFmtId="44" fontId="53" fillId="0" borderId="0" applyFont="0" applyFill="0" applyBorder="0" applyAlignment="0" applyProtection="0"/>
    <xf numFmtId="9" fontId="53" fillId="0" borderId="0" applyFont="0" applyFill="0" applyBorder="0" applyAlignment="0" applyProtection="0"/>
    <xf numFmtId="0" fontId="61" fillId="0" borderId="0" applyNumberFormat="0" applyFill="0" applyBorder="0" applyAlignment="0" applyProtection="0"/>
    <xf numFmtId="0" fontId="62" fillId="0" borderId="0"/>
  </cellStyleXfs>
  <cellXfs count="742">
    <xf numFmtId="0" fontId="0" fillId="0" borderId="0" xfId="0"/>
    <xf numFmtId="0" fontId="13" fillId="0" borderId="0" xfId="0" applyFont="1"/>
    <xf numFmtId="0" fontId="14" fillId="0" borderId="0" xfId="0" applyFont="1"/>
    <xf numFmtId="0" fontId="6" fillId="0" borderId="0" xfId="4" applyFont="1" applyFill="1"/>
    <xf numFmtId="0" fontId="13" fillId="0" borderId="0" xfId="0" applyFont="1" applyAlignment="1">
      <alignment horizontal="right"/>
    </xf>
    <xf numFmtId="0" fontId="7" fillId="0" borderId="0" xfId="0" applyFont="1"/>
    <xf numFmtId="0" fontId="10" fillId="0" borderId="0" xfId="0" applyFont="1"/>
    <xf numFmtId="0" fontId="7" fillId="0" borderId="1" xfId="0" applyFont="1" applyBorder="1"/>
    <xf numFmtId="0" fontId="7" fillId="0" borderId="0" xfId="0" applyFont="1" applyAlignment="1">
      <alignment vertical="center" wrapText="1"/>
    </xf>
    <xf numFmtId="0" fontId="9" fillId="0" borderId="0" xfId="0" applyFont="1"/>
    <xf numFmtId="0" fontId="9" fillId="0" borderId="0" xfId="0" applyFont="1" applyAlignment="1">
      <alignment horizontal="right"/>
    </xf>
    <xf numFmtId="10" fontId="7" fillId="0" borderId="0" xfId="5" applyNumberFormat="1" applyFont="1"/>
    <xf numFmtId="164" fontId="7" fillId="0" borderId="0" xfId="1" applyNumberFormat="1" applyFont="1"/>
    <xf numFmtId="0" fontId="7" fillId="0" borderId="1" xfId="5" applyNumberFormat="1" applyFont="1" applyBorder="1"/>
    <xf numFmtId="0" fontId="7" fillId="0" borderId="1" xfId="1" applyNumberFormat="1" applyFont="1" applyBorder="1"/>
    <xf numFmtId="0" fontId="7" fillId="0" borderId="1" xfId="1" applyNumberFormat="1" applyFont="1" applyBorder="1" applyAlignment="1">
      <alignment horizontal="left"/>
    </xf>
    <xf numFmtId="44" fontId="7" fillId="0" borderId="0" xfId="2" applyFont="1" applyAlignment="1">
      <alignment vertical="center" wrapText="1"/>
    </xf>
    <xf numFmtId="44" fontId="7" fillId="0" borderId="0" xfId="2" applyFont="1"/>
    <xf numFmtId="0" fontId="7" fillId="0" borderId="0" xfId="0" applyFont="1" applyAlignment="1">
      <alignment vertical="center"/>
    </xf>
    <xf numFmtId="166" fontId="9" fillId="0" borderId="1" xfId="5" applyNumberFormat="1" applyFont="1" applyBorder="1"/>
    <xf numFmtId="164" fontId="9" fillId="0" borderId="1" xfId="0" applyNumberFormat="1" applyFont="1" applyBorder="1"/>
    <xf numFmtId="37" fontId="9" fillId="0" borderId="1" xfId="5" applyNumberFormat="1" applyFont="1" applyBorder="1"/>
    <xf numFmtId="164" fontId="9" fillId="0" borderId="1" xfId="1" applyNumberFormat="1" applyFont="1" applyBorder="1"/>
    <xf numFmtId="0" fontId="8" fillId="0" borderId="0" xfId="0" applyFont="1"/>
    <xf numFmtId="0" fontId="9" fillId="0" borderId="1" xfId="0" applyFont="1" applyBorder="1"/>
    <xf numFmtId="43" fontId="7" fillId="0" borderId="1" xfId="0" applyNumberFormat="1" applyFont="1" applyBorder="1"/>
    <xf numFmtId="8" fontId="7" fillId="0" borderId="1" xfId="0" applyNumberFormat="1" applyFont="1" applyBorder="1"/>
    <xf numFmtId="10" fontId="7" fillId="0" borderId="1" xfId="0" applyNumberFormat="1" applyFont="1" applyBorder="1"/>
    <xf numFmtId="41" fontId="7" fillId="0" borderId="1" xfId="0" applyNumberFormat="1" applyFont="1" applyBorder="1"/>
    <xf numFmtId="0" fontId="21" fillId="0" borderId="0" xfId="0" applyFont="1"/>
    <xf numFmtId="0" fontId="22" fillId="0" borderId="0" xfId="0" applyFont="1"/>
    <xf numFmtId="43" fontId="22" fillId="0" borderId="0" xfId="1" applyFont="1"/>
    <xf numFmtId="164" fontId="22" fillId="0" borderId="0" xfId="1" applyNumberFormat="1" applyFont="1"/>
    <xf numFmtId="44" fontId="22" fillId="0" borderId="0" xfId="2" applyFont="1"/>
    <xf numFmtId="42" fontId="9" fillId="0" borderId="1" xfId="0" applyNumberFormat="1" applyFont="1" applyBorder="1"/>
    <xf numFmtId="164" fontId="7" fillId="0" borderId="1" xfId="0" applyNumberFormat="1" applyFont="1" applyBorder="1" applyAlignment="1">
      <alignment horizontal="right"/>
    </xf>
    <xf numFmtId="164" fontId="7" fillId="0" borderId="1" xfId="0" applyNumberFormat="1" applyFont="1" applyBorder="1"/>
    <xf numFmtId="44" fontId="7" fillId="0" borderId="1" xfId="2" applyFont="1" applyBorder="1"/>
    <xf numFmtId="41" fontId="7" fillId="0" borderId="1" xfId="1" applyNumberFormat="1" applyFont="1" applyBorder="1" applyAlignment="1">
      <alignment horizontal="right"/>
    </xf>
    <xf numFmtId="41" fontId="7" fillId="0" borderId="1" xfId="0" applyNumberFormat="1" applyFont="1" applyBorder="1" applyAlignment="1">
      <alignment horizontal="right"/>
    </xf>
    <xf numFmtId="0" fontId="9" fillId="0" borderId="1" xfId="0" applyFont="1" applyBorder="1" applyAlignment="1">
      <alignment horizontal="center"/>
    </xf>
    <xf numFmtId="0" fontId="7" fillId="0" borderId="1" xfId="0" applyFont="1" applyBorder="1" applyAlignment="1">
      <alignment horizontal="left" indent="2"/>
    </xf>
    <xf numFmtId="0" fontId="9" fillId="0" borderId="1" xfId="0" applyFont="1" applyBorder="1" applyAlignment="1">
      <alignment horizontal="left" indent="2"/>
    </xf>
    <xf numFmtId="0" fontId="15" fillId="0" borderId="0" xfId="0" applyFont="1"/>
    <xf numFmtId="0" fontId="9" fillId="0" borderId="1" xfId="0" applyFont="1" applyBorder="1" applyAlignment="1">
      <alignment horizontal="left"/>
    </xf>
    <xf numFmtId="42" fontId="7" fillId="0" borderId="2" xfId="1" applyNumberFormat="1" applyFont="1" applyBorder="1"/>
    <xf numFmtId="164" fontId="7" fillId="0" borderId="1" xfId="1" applyNumberFormat="1" applyFont="1" applyBorder="1"/>
    <xf numFmtId="42" fontId="7" fillId="0" borderId="2" xfId="0" applyNumberFormat="1" applyFont="1" applyBorder="1"/>
    <xf numFmtId="0" fontId="15" fillId="0" borderId="1" xfId="0" applyFont="1" applyBorder="1"/>
    <xf numFmtId="0" fontId="25" fillId="0" borderId="0" xfId="0" applyFont="1" applyAlignment="1">
      <alignment horizontal="left" vertical="center"/>
    </xf>
    <xf numFmtId="42" fontId="7" fillId="0" borderId="1" xfId="1" applyNumberFormat="1" applyFont="1" applyBorder="1"/>
    <xf numFmtId="41" fontId="7" fillId="8" borderId="2" xfId="1" applyNumberFormat="1" applyFont="1" applyFill="1" applyBorder="1" applyProtection="1">
      <protection locked="0"/>
    </xf>
    <xf numFmtId="0" fontId="9" fillId="0" borderId="0" xfId="0" applyFont="1" applyAlignment="1">
      <alignment horizontal="left"/>
    </xf>
    <xf numFmtId="0" fontId="25" fillId="0" borderId="0" xfId="0" applyFont="1" applyAlignment="1">
      <alignment vertical="center"/>
    </xf>
    <xf numFmtId="0" fontId="25" fillId="0" borderId="0" xfId="0" applyFont="1" applyAlignment="1">
      <alignment horizontal="left"/>
    </xf>
    <xf numFmtId="0" fontId="9" fillId="0" borderId="0" xfId="0" applyFont="1" applyAlignment="1">
      <alignment vertical="center"/>
    </xf>
    <xf numFmtId="0" fontId="7" fillId="0" borderId="0" xfId="0" applyFont="1" applyAlignment="1">
      <alignment horizontal="left"/>
    </xf>
    <xf numFmtId="42" fontId="7" fillId="0" borderId="1" xfId="0" applyNumberFormat="1" applyFont="1" applyBorder="1"/>
    <xf numFmtId="42" fontId="7" fillId="0" borderId="1" xfId="2" applyNumberFormat="1" applyFont="1" applyBorder="1"/>
    <xf numFmtId="167" fontId="9" fillId="0" borderId="1" xfId="0" applyNumberFormat="1" applyFont="1" applyBorder="1"/>
    <xf numFmtId="0" fontId="9" fillId="5" borderId="1" xfId="0" applyFont="1" applyFill="1" applyBorder="1"/>
    <xf numFmtId="0" fontId="7" fillId="5" borderId="1" xfId="0" applyFont="1" applyFill="1" applyBorder="1" applyAlignment="1">
      <alignment horizontal="center"/>
    </xf>
    <xf numFmtId="0" fontId="7" fillId="5" borderId="1" xfId="0" applyFont="1" applyFill="1" applyBorder="1"/>
    <xf numFmtId="0" fontId="15" fillId="5" borderId="1" xfId="0" applyFont="1" applyFill="1" applyBorder="1"/>
    <xf numFmtId="44" fontId="7" fillId="5" borderId="1" xfId="2" applyFont="1" applyFill="1" applyBorder="1"/>
    <xf numFmtId="10" fontId="7" fillId="0" borderId="1" xfId="5" applyNumberFormat="1" applyFont="1" applyBorder="1" applyProtection="1">
      <protection locked="0"/>
    </xf>
    <xf numFmtId="42" fontId="7" fillId="0" borderId="1" xfId="5" applyNumberFormat="1" applyFont="1" applyBorder="1"/>
    <xf numFmtId="10" fontId="7" fillId="0" borderId="1" xfId="0" applyNumberFormat="1" applyFont="1" applyBorder="1" applyProtection="1">
      <protection locked="0"/>
    </xf>
    <xf numFmtId="10" fontId="7" fillId="0" borderId="1" xfId="0" applyNumberFormat="1" applyFont="1" applyBorder="1" applyAlignment="1">
      <alignment horizontal="center"/>
    </xf>
    <xf numFmtId="0" fontId="7" fillId="0" borderId="1" xfId="0" applyFont="1" applyBorder="1" applyAlignment="1">
      <alignment horizontal="center"/>
    </xf>
    <xf numFmtId="0" fontId="17" fillId="0" borderId="0" xfId="0" applyFont="1"/>
    <xf numFmtId="0" fontId="24" fillId="0" borderId="0" xfId="0" applyFont="1"/>
    <xf numFmtId="9" fontId="15" fillId="0" borderId="0" xfId="0" applyNumberFormat="1" applyFont="1" applyAlignment="1" applyProtection="1">
      <alignment horizontal="center" vertical="center"/>
      <protection locked="0"/>
    </xf>
    <xf numFmtId="42" fontId="15" fillId="0" borderId="0" xfId="0" applyNumberFormat="1" applyFont="1"/>
    <xf numFmtId="0" fontId="26" fillId="0" borderId="0" xfId="0" applyFont="1"/>
    <xf numFmtId="0" fontId="16" fillId="0" borderId="0" xfId="0" applyFont="1" applyAlignment="1">
      <alignment horizontal="center" vertical="center"/>
    </xf>
    <xf numFmtId="41" fontId="7" fillId="0" borderId="0" xfId="2" applyNumberFormat="1" applyFont="1" applyProtection="1">
      <protection locked="0"/>
    </xf>
    <xf numFmtId="42" fontId="17" fillId="0" borderId="0" xfId="2" applyNumberFormat="1" applyFont="1"/>
    <xf numFmtId="0" fontId="16" fillId="0" borderId="0" xfId="0" applyFont="1"/>
    <xf numFmtId="41" fontId="7" fillId="0" borderId="1" xfId="1" applyNumberFormat="1" applyFont="1" applyBorder="1"/>
    <xf numFmtId="166" fontId="7" fillId="0" borderId="1" xfId="0" applyNumberFormat="1" applyFont="1" applyBorder="1" applyProtection="1">
      <protection locked="0"/>
    </xf>
    <xf numFmtId="0" fontId="9" fillId="0" borderId="1" xfId="0" applyFont="1" applyBorder="1" applyAlignment="1">
      <alignment horizontal="left" vertical="center"/>
    </xf>
    <xf numFmtId="165" fontId="17" fillId="0" borderId="0" xfId="0" applyNumberFormat="1" applyFont="1"/>
    <xf numFmtId="42" fontId="17" fillId="0" borderId="0" xfId="0" applyNumberFormat="1" applyFont="1"/>
    <xf numFmtId="44" fontId="17" fillId="0" borderId="0" xfId="0" applyNumberFormat="1" applyFont="1"/>
    <xf numFmtId="44" fontId="16" fillId="0" borderId="0" xfId="0" applyNumberFormat="1" applyFont="1"/>
    <xf numFmtId="42" fontId="9" fillId="0" borderId="1" xfId="1" applyNumberFormat="1" applyFont="1" applyBorder="1"/>
    <xf numFmtId="166" fontId="7" fillId="0" borderId="0" xfId="0" applyNumberFormat="1" applyFont="1"/>
    <xf numFmtId="41" fontId="7" fillId="0" borderId="0" xfId="1" applyNumberFormat="1" applyFont="1"/>
    <xf numFmtId="0" fontId="16" fillId="0" borderId="0" xfId="0" applyFont="1" applyAlignment="1">
      <alignment horizontal="center" vertical="center" wrapText="1"/>
    </xf>
    <xf numFmtId="167" fontId="7" fillId="0" borderId="0" xfId="0" applyNumberFormat="1" applyFont="1" applyProtection="1">
      <protection locked="0"/>
    </xf>
    <xf numFmtId="42" fontId="17" fillId="0" borderId="0" xfId="2" applyNumberFormat="1" applyFont="1" applyAlignment="1">
      <alignment horizontal="center"/>
    </xf>
    <xf numFmtId="0" fontId="7" fillId="0" borderId="0" xfId="0" applyFont="1" applyAlignment="1">
      <alignment horizontal="center"/>
    </xf>
    <xf numFmtId="0" fontId="16" fillId="0" borderId="0" xfId="0" applyFont="1" applyAlignment="1">
      <alignment horizontal="center" wrapText="1"/>
    </xf>
    <xf numFmtId="10" fontId="7" fillId="0" borderId="0" xfId="5" applyNumberFormat="1" applyFont="1" applyProtection="1">
      <protection locked="0"/>
    </xf>
    <xf numFmtId="10" fontId="17" fillId="0" borderId="0" xfId="0" applyNumberFormat="1" applyFont="1" applyAlignment="1">
      <alignment horizontal="center"/>
    </xf>
    <xf numFmtId="0" fontId="17" fillId="0" borderId="0" xfId="0" applyFont="1" applyAlignment="1">
      <alignment horizontal="center"/>
    </xf>
    <xf numFmtId="0" fontId="15" fillId="0" borderId="0" xfId="0" applyFont="1" applyProtection="1">
      <protection locked="0"/>
    </xf>
    <xf numFmtId="9" fontId="17" fillId="0" borderId="0" xfId="0" applyNumberFormat="1" applyFont="1"/>
    <xf numFmtId="0" fontId="24" fillId="0" borderId="1" xfId="0" applyFont="1" applyBorder="1" applyAlignment="1">
      <alignment horizontal="right" vertical="center"/>
    </xf>
    <xf numFmtId="0" fontId="9" fillId="0" borderId="1" xfId="0" applyFont="1" applyBorder="1" applyAlignment="1">
      <alignment horizontal="right" vertical="center"/>
    </xf>
    <xf numFmtId="0" fontId="15" fillId="0" borderId="1" xfId="0" applyFont="1" applyBorder="1" applyAlignment="1">
      <alignment horizontal="right" vertical="center"/>
    </xf>
    <xf numFmtId="164" fontId="9" fillId="0" borderId="5" xfId="0" applyNumberFormat="1" applyFont="1" applyBorder="1" applyAlignment="1">
      <alignment horizontal="right" vertical="center"/>
    </xf>
    <xf numFmtId="9" fontId="9" fillId="0" borderId="1" xfId="0" applyNumberFormat="1" applyFont="1" applyBorder="1" applyAlignment="1">
      <alignment horizontal="right" vertical="center"/>
    </xf>
    <xf numFmtId="0" fontId="15" fillId="0" borderId="5" xfId="0" quotePrefix="1" applyFont="1" applyBorder="1" applyAlignment="1">
      <alignment horizontal="right" vertical="center"/>
    </xf>
    <xf numFmtId="42" fontId="9" fillId="0" borderId="5" xfId="0" applyNumberFormat="1" applyFont="1" applyBorder="1" applyAlignment="1">
      <alignment horizontal="right" vertical="center"/>
    </xf>
    <xf numFmtId="9" fontId="9" fillId="0" borderId="1" xfId="0" applyNumberFormat="1" applyFont="1" applyBorder="1"/>
    <xf numFmtId="0" fontId="15" fillId="0" borderId="1" xfId="0" quotePrefix="1" applyFont="1" applyBorder="1" applyAlignment="1">
      <alignment horizontal="right" vertical="center"/>
    </xf>
    <xf numFmtId="0" fontId="15" fillId="5" borderId="2" xfId="0" quotePrefix="1" applyFont="1" applyFill="1" applyBorder="1" applyAlignment="1">
      <alignment horizontal="right" vertical="center"/>
    </xf>
    <xf numFmtId="43" fontId="15" fillId="5" borderId="8" xfId="1" applyFont="1" applyFill="1" applyBorder="1" applyAlignment="1">
      <alignment horizontal="right" vertical="center"/>
    </xf>
    <xf numFmtId="43" fontId="15" fillId="5" borderId="8" xfId="1" applyFont="1" applyFill="1" applyBorder="1" applyAlignment="1" applyProtection="1">
      <alignment horizontal="right" vertical="center"/>
      <protection locked="0"/>
    </xf>
    <xf numFmtId="0" fontId="9" fillId="0" borderId="9" xfId="0" applyFont="1" applyBorder="1" applyAlignment="1">
      <alignment horizontal="right" vertical="center"/>
    </xf>
    <xf numFmtId="0" fontId="24" fillId="0" borderId="6" xfId="0" applyFont="1" applyBorder="1" applyAlignment="1">
      <alignment horizontal="right" vertical="center"/>
    </xf>
    <xf numFmtId="43" fontId="15" fillId="5" borderId="6" xfId="1" applyFont="1" applyFill="1" applyBorder="1" applyAlignment="1" applyProtection="1">
      <alignment horizontal="right" vertical="center"/>
      <protection locked="0"/>
    </xf>
    <xf numFmtId="0" fontId="9" fillId="0" borderId="6" xfId="0" applyFont="1" applyBorder="1" applyAlignment="1">
      <alignment horizontal="right" vertical="center"/>
    </xf>
    <xf numFmtId="0" fontId="7" fillId="0" borderId="1" xfId="0" quotePrefix="1" applyFont="1" applyBorder="1" applyAlignment="1">
      <alignment horizontal="right" vertical="center"/>
    </xf>
    <xf numFmtId="42" fontId="9" fillId="0" borderId="1" xfId="0" applyNumberFormat="1" applyFont="1" applyBorder="1" applyAlignment="1">
      <alignment horizontal="right" vertical="center"/>
    </xf>
    <xf numFmtId="43" fontId="15" fillId="5" borderId="6" xfId="0" applyNumberFormat="1" applyFont="1" applyFill="1" applyBorder="1" applyAlignment="1">
      <alignment horizontal="right" vertical="center"/>
    </xf>
    <xf numFmtId="0" fontId="15" fillId="0" borderId="2" xfId="0" quotePrefix="1" applyFont="1" applyBorder="1" applyAlignment="1">
      <alignment horizontal="right" vertical="center"/>
    </xf>
    <xf numFmtId="43" fontId="15" fillId="5" borderId="8" xfId="0" applyNumberFormat="1" applyFont="1" applyFill="1" applyBorder="1" applyAlignment="1">
      <alignment horizontal="right" vertical="center"/>
    </xf>
    <xf numFmtId="43" fontId="15" fillId="0" borderId="8" xfId="1" applyFont="1" applyBorder="1" applyAlignment="1" applyProtection="1">
      <alignment horizontal="right" vertical="center"/>
      <protection locked="0"/>
    </xf>
    <xf numFmtId="43" fontId="15" fillId="0" borderId="6" xfId="1" applyFont="1" applyBorder="1" applyAlignment="1" applyProtection="1">
      <alignment horizontal="right" vertical="center"/>
      <protection locked="0"/>
    </xf>
    <xf numFmtId="0" fontId="7" fillId="0" borderId="5" xfId="0" quotePrefix="1" applyFont="1" applyBorder="1" applyAlignment="1">
      <alignment horizontal="right" vertical="center"/>
    </xf>
    <xf numFmtId="0" fontId="9" fillId="0" borderId="5" xfId="0" quotePrefix="1" applyFont="1" applyBorder="1" applyAlignment="1">
      <alignment horizontal="right" vertical="center"/>
    </xf>
    <xf numFmtId="0" fontId="9" fillId="0" borderId="5" xfId="0" applyFont="1" applyBorder="1" applyAlignment="1">
      <alignment horizontal="right" vertical="center"/>
    </xf>
    <xf numFmtId="42" fontId="9" fillId="0" borderId="5" xfId="0" applyNumberFormat="1" applyFont="1" applyBorder="1" applyAlignment="1">
      <alignment horizontal="left" vertical="center"/>
    </xf>
    <xf numFmtId="42" fontId="9" fillId="0" borderId="1" xfId="0" applyNumberFormat="1" applyFont="1" applyBorder="1" applyAlignment="1">
      <alignment horizontal="left" vertical="center"/>
    </xf>
    <xf numFmtId="0" fontId="7" fillId="8" borderId="1" xfId="0" applyFont="1" applyFill="1" applyBorder="1" applyAlignment="1" applyProtection="1">
      <alignment horizontal="right" vertical="center"/>
      <protection locked="0"/>
    </xf>
    <xf numFmtId="0" fontId="27" fillId="0" borderId="0" xfId="0" applyFont="1" applyAlignment="1">
      <alignment vertical="center"/>
    </xf>
    <xf numFmtId="0" fontId="9" fillId="0" borderId="0" xfId="0" applyFont="1" applyAlignment="1">
      <alignment horizontal="right" vertical="center"/>
    </xf>
    <xf numFmtId="10" fontId="7" fillId="8" borderId="0" xfId="0" applyNumberFormat="1" applyFont="1" applyFill="1" applyAlignment="1" applyProtection="1">
      <alignment horizontal="left" vertical="center"/>
      <protection locked="0"/>
    </xf>
    <xf numFmtId="37" fontId="15" fillId="8" borderId="1" xfId="0" applyNumberFormat="1" applyFont="1" applyFill="1" applyBorder="1" applyAlignment="1" applyProtection="1">
      <alignment horizontal="right" vertical="center"/>
      <protection locked="0"/>
    </xf>
    <xf numFmtId="166" fontId="7" fillId="8" borderId="1" xfId="0" applyNumberFormat="1" applyFont="1" applyFill="1" applyBorder="1" applyProtection="1">
      <protection locked="0"/>
    </xf>
    <xf numFmtId="41" fontId="7" fillId="8" borderId="1" xfId="2" applyNumberFormat="1" applyFont="1" applyFill="1" applyBorder="1" applyProtection="1">
      <protection locked="0"/>
    </xf>
    <xf numFmtId="10" fontId="7" fillId="8" borderId="1" xfId="5" applyNumberFormat="1" applyFont="1" applyFill="1" applyBorder="1" applyProtection="1">
      <protection locked="0"/>
    </xf>
    <xf numFmtId="0" fontId="7" fillId="0" borderId="1" xfId="0" quotePrefix="1" applyFont="1" applyBorder="1" applyAlignment="1">
      <alignment horizontal="right"/>
    </xf>
    <xf numFmtId="42" fontId="7" fillId="0" borderId="1" xfId="0" applyNumberFormat="1" applyFont="1" applyBorder="1" applyAlignment="1">
      <alignment horizontal="right"/>
    </xf>
    <xf numFmtId="0" fontId="29" fillId="0" borderId="0" xfId="0" applyFont="1"/>
    <xf numFmtId="0" fontId="15" fillId="0" borderId="0" xfId="0" applyFont="1" applyAlignment="1">
      <alignment vertical="center"/>
    </xf>
    <xf numFmtId="0" fontId="24" fillId="0" borderId="0" xfId="0" applyFont="1" applyAlignment="1">
      <alignment vertical="center"/>
    </xf>
    <xf numFmtId="0" fontId="15" fillId="0" borderId="0" xfId="0" applyFont="1" applyAlignment="1">
      <alignment horizontal="right"/>
    </xf>
    <xf numFmtId="0" fontId="9" fillId="0" borderId="1" xfId="0" applyFont="1" applyBorder="1" applyAlignment="1">
      <alignment horizontal="right"/>
    </xf>
    <xf numFmtId="0" fontId="9" fillId="0" borderId="6" xfId="0" applyFont="1" applyBorder="1"/>
    <xf numFmtId="41" fontId="17" fillId="0" borderId="6" xfId="5" applyNumberFormat="1" applyFont="1" applyBorder="1" applyProtection="1">
      <protection locked="0"/>
    </xf>
    <xf numFmtId="0" fontId="9" fillId="0" borderId="6" xfId="0" applyFont="1" applyBorder="1" applyAlignment="1">
      <alignment horizontal="center" vertical="center"/>
    </xf>
    <xf numFmtId="0" fontId="15" fillId="0" borderId="1" xfId="0" applyFont="1" applyBorder="1" applyAlignment="1" applyProtection="1">
      <alignment horizontal="left" indent="3"/>
      <protection locked="0"/>
    </xf>
    <xf numFmtId="41" fontId="7" fillId="8" borderId="1" xfId="1" applyNumberFormat="1" applyFont="1" applyFill="1" applyBorder="1" applyProtection="1">
      <protection locked="0"/>
    </xf>
    <xf numFmtId="0" fontId="24" fillId="0" borderId="1" xfId="0" applyFont="1" applyBorder="1"/>
    <xf numFmtId="0" fontId="15" fillId="0" borderId="1" xfId="0" applyFont="1" applyBorder="1" applyAlignment="1">
      <alignment horizontal="left" indent="3"/>
    </xf>
    <xf numFmtId="0" fontId="15" fillId="0" borderId="1" xfId="0" applyFont="1" applyBorder="1" applyAlignment="1">
      <alignment horizontal="left" indent="6"/>
    </xf>
    <xf numFmtId="44" fontId="15" fillId="0" borderId="0" xfId="0" applyNumberFormat="1" applyFont="1"/>
    <xf numFmtId="0" fontId="30" fillId="0" borderId="0" xfId="0" applyFont="1" applyAlignment="1">
      <alignment vertical="center"/>
    </xf>
    <xf numFmtId="0" fontId="9" fillId="0" borderId="0" xfId="0" applyFont="1" applyAlignment="1">
      <alignment horizontal="left" vertical="center"/>
    </xf>
    <xf numFmtId="0" fontId="15" fillId="0" borderId="0" xfId="0" applyFont="1" applyAlignment="1">
      <alignment horizontal="center"/>
    </xf>
    <xf numFmtId="41" fontId="15" fillId="0" borderId="1" xfId="0" applyNumberFormat="1" applyFont="1" applyBorder="1"/>
    <xf numFmtId="166" fontId="7" fillId="0" borderId="1" xfId="0" applyNumberFormat="1" applyFont="1" applyBorder="1"/>
    <xf numFmtId="43" fontId="15" fillId="0" borderId="1" xfId="0" applyNumberFormat="1" applyFont="1" applyBorder="1"/>
    <xf numFmtId="41" fontId="7" fillId="0" borderId="6" xfId="1" applyNumberFormat="1" applyFont="1" applyBorder="1"/>
    <xf numFmtId="41" fontId="15" fillId="0" borderId="6" xfId="0" applyNumberFormat="1" applyFont="1" applyBorder="1"/>
    <xf numFmtId="0" fontId="15" fillId="0" borderId="1" xfId="0" applyFont="1" applyBorder="1" applyAlignment="1">
      <alignment horizontal="left"/>
    </xf>
    <xf numFmtId="0" fontId="25" fillId="0" borderId="0" xfId="0" applyFont="1"/>
    <xf numFmtId="0" fontId="7" fillId="0" borderId="0" xfId="0" applyFont="1" applyAlignment="1">
      <alignment horizontal="left" vertical="center"/>
    </xf>
    <xf numFmtId="0" fontId="15" fillId="0" borderId="0" xfId="4" applyFont="1" applyFill="1"/>
    <xf numFmtId="0" fontId="15" fillId="4" borderId="1" xfId="4" applyFont="1" applyFill="1" applyBorder="1"/>
    <xf numFmtId="9" fontId="15" fillId="8" borderId="1" xfId="5" applyFont="1" applyFill="1" applyBorder="1" applyProtection="1">
      <protection locked="0"/>
    </xf>
    <xf numFmtId="0" fontId="15" fillId="4" borderId="1" xfId="0" applyFont="1" applyFill="1" applyBorder="1"/>
    <xf numFmtId="0" fontId="15" fillId="6" borderId="1" xfId="0" applyFont="1" applyFill="1" applyBorder="1" applyProtection="1">
      <protection locked="0"/>
    </xf>
    <xf numFmtId="0" fontId="7" fillId="0" borderId="2" xfId="0" applyFont="1" applyBorder="1"/>
    <xf numFmtId="9" fontId="15" fillId="0" borderId="1" xfId="5" applyFont="1" applyBorder="1"/>
    <xf numFmtId="10" fontId="15" fillId="8" borderId="1" xfId="0" applyNumberFormat="1" applyFont="1" applyFill="1" applyBorder="1" applyProtection="1">
      <protection locked="0"/>
    </xf>
    <xf numFmtId="41" fontId="7" fillId="8" borderId="7" xfId="1" applyNumberFormat="1" applyFont="1" applyFill="1" applyBorder="1" applyProtection="1">
      <protection locked="0"/>
    </xf>
    <xf numFmtId="0" fontId="7" fillId="0" borderId="1" xfId="0" applyFont="1" applyBorder="1" applyAlignment="1">
      <alignment horizontal="left"/>
    </xf>
    <xf numFmtId="0" fontId="24" fillId="0" borderId="1" xfId="0" applyFont="1" applyBorder="1" applyAlignment="1">
      <alignment horizontal="right"/>
    </xf>
    <xf numFmtId="9" fontId="24" fillId="0" borderId="1" xfId="0" applyNumberFormat="1" applyFont="1" applyBorder="1"/>
    <xf numFmtId="0" fontId="25" fillId="0" borderId="0" xfId="0" quotePrefix="1" applyFont="1"/>
    <xf numFmtId="0" fontId="24" fillId="0" borderId="0" xfId="0" quotePrefix="1" applyFont="1"/>
    <xf numFmtId="0" fontId="7" fillId="0" borderId="1" xfId="0" applyFont="1" applyBorder="1" applyAlignment="1">
      <alignment horizontal="left" indent="3"/>
    </xf>
    <xf numFmtId="41" fontId="7" fillId="0" borderId="1" xfId="1" quotePrefix="1" applyNumberFormat="1" applyFont="1" applyBorder="1"/>
    <xf numFmtId="0" fontId="7" fillId="0" borderId="1" xfId="0" applyFont="1" applyBorder="1" applyAlignment="1">
      <alignment horizontal="left" indent="6"/>
    </xf>
    <xf numFmtId="0" fontId="9" fillId="5" borderId="1" xfId="0" applyFont="1" applyFill="1" applyBorder="1" applyAlignment="1">
      <alignment horizontal="left"/>
    </xf>
    <xf numFmtId="42" fontId="7" fillId="5" borderId="1" xfId="1" applyNumberFormat="1" applyFont="1" applyFill="1" applyBorder="1"/>
    <xf numFmtId="0" fontId="7" fillId="0" borderId="1" xfId="0" applyFont="1" applyBorder="1" applyAlignment="1">
      <alignment horizontal="left" indent="5"/>
    </xf>
    <xf numFmtId="0" fontId="9" fillId="0" borderId="0" xfId="0" quotePrefix="1" applyFont="1"/>
    <xf numFmtId="42" fontId="9" fillId="0" borderId="1" xfId="0" applyNumberFormat="1" applyFont="1" applyBorder="1" applyAlignment="1">
      <alignment horizontal="left" indent="3"/>
    </xf>
    <xf numFmtId="0" fontId="32" fillId="0" borderId="0" xfId="0" applyFont="1"/>
    <xf numFmtId="0" fontId="7" fillId="0" borderId="1" xfId="0" applyFont="1" applyBorder="1" applyAlignment="1">
      <alignment horizontal="left" vertical="center"/>
    </xf>
    <xf numFmtId="0" fontId="7" fillId="5" borderId="1" xfId="0" applyFont="1" applyFill="1" applyBorder="1" applyAlignment="1">
      <alignment horizontal="left" vertical="center"/>
    </xf>
    <xf numFmtId="42" fontId="9" fillId="5" borderId="1" xfId="0" applyNumberFormat="1" applyFont="1" applyFill="1" applyBorder="1" applyAlignment="1">
      <alignment horizontal="left"/>
    </xf>
    <xf numFmtId="0" fontId="7" fillId="0" borderId="1" xfId="0" applyFont="1" applyBorder="1" applyAlignment="1" applyProtection="1">
      <alignment horizontal="left" indent="3"/>
      <protection locked="0"/>
    </xf>
    <xf numFmtId="0" fontId="9" fillId="4" borderId="1" xfId="0" applyFont="1" applyFill="1" applyBorder="1" applyAlignment="1">
      <alignment horizontal="left"/>
    </xf>
    <xf numFmtId="0" fontId="7" fillId="4" borderId="1" xfId="0" applyFont="1" applyFill="1" applyBorder="1" applyAlignment="1">
      <alignment horizontal="left" indent="3"/>
    </xf>
    <xf numFmtId="0" fontId="7" fillId="4" borderId="1" xfId="0" applyFont="1" applyFill="1" applyBorder="1" applyAlignment="1">
      <alignment horizontal="left" indent="6"/>
    </xf>
    <xf numFmtId="9" fontId="26" fillId="0" borderId="0" xfId="0" applyNumberFormat="1" applyFont="1" applyAlignment="1">
      <alignment horizontal="center"/>
    </xf>
    <xf numFmtId="9" fontId="26" fillId="0" borderId="0" xfId="0" applyNumberFormat="1" applyFont="1"/>
    <xf numFmtId="9" fontId="25" fillId="0" borderId="0" xfId="0" applyNumberFormat="1" applyFont="1" applyAlignment="1">
      <alignment horizontal="center"/>
    </xf>
    <xf numFmtId="9" fontId="25" fillId="0" borderId="0" xfId="0" applyNumberFormat="1" applyFont="1"/>
    <xf numFmtId="9" fontId="9" fillId="0" borderId="0" xfId="0" applyNumberFormat="1" applyFont="1" applyAlignment="1">
      <alignment horizontal="center" vertical="center"/>
    </xf>
    <xf numFmtId="9" fontId="9" fillId="0" borderId="0" xfId="0" applyNumberFormat="1" applyFont="1" applyAlignment="1">
      <alignment vertical="center"/>
    </xf>
    <xf numFmtId="9" fontId="7" fillId="0" borderId="0" xfId="0" applyNumberFormat="1" applyFont="1" applyAlignment="1">
      <alignment horizontal="center" vertical="center"/>
    </xf>
    <xf numFmtId="9" fontId="7" fillId="0" borderId="0" xfId="0" applyNumberFormat="1" applyFont="1" applyAlignment="1">
      <alignment vertical="center"/>
    </xf>
    <xf numFmtId="0" fontId="9" fillId="0" borderId="2" xfId="0" applyFont="1" applyBorder="1" applyAlignment="1">
      <alignment horizontal="left"/>
    </xf>
    <xf numFmtId="9" fontId="9" fillId="0" borderId="1" xfId="0" applyNumberFormat="1" applyFont="1" applyBorder="1" applyAlignment="1">
      <alignment horizontal="center"/>
    </xf>
    <xf numFmtId="0" fontId="7" fillId="0" borderId="2" xfId="0" applyFont="1" applyBorder="1" applyAlignment="1">
      <alignment horizontal="left" vertical="center"/>
    </xf>
    <xf numFmtId="9" fontId="7" fillId="0" borderId="1" xfId="0" applyNumberFormat="1" applyFont="1" applyBorder="1" applyAlignment="1">
      <alignment horizontal="center"/>
    </xf>
    <xf numFmtId="9" fontId="7" fillId="0" borderId="1" xfId="0" applyNumberFormat="1" applyFont="1" applyBorder="1" applyAlignment="1">
      <alignment horizontal="right"/>
    </xf>
    <xf numFmtId="9" fontId="7" fillId="0" borderId="1" xfId="1" applyNumberFormat="1" applyFont="1" applyBorder="1" applyAlignment="1">
      <alignment horizontal="center"/>
    </xf>
    <xf numFmtId="9" fontId="7" fillId="0" borderId="1" xfId="1" applyNumberFormat="1" applyFont="1" applyBorder="1" applyAlignment="1">
      <alignment horizontal="right"/>
    </xf>
    <xf numFmtId="9" fontId="9" fillId="0" borderId="1" xfId="1" applyNumberFormat="1" applyFont="1" applyBorder="1" applyAlignment="1">
      <alignment horizontal="center"/>
    </xf>
    <xf numFmtId="9" fontId="9" fillId="0" borderId="1" xfId="1" applyNumberFormat="1" applyFont="1" applyBorder="1"/>
    <xf numFmtId="165" fontId="7" fillId="0" borderId="1" xfId="1" applyNumberFormat="1" applyFont="1" applyBorder="1"/>
    <xf numFmtId="9" fontId="7" fillId="0" borderId="1" xfId="1" applyNumberFormat="1" applyFont="1" applyBorder="1"/>
    <xf numFmtId="9" fontId="7" fillId="0" borderId="1" xfId="0" applyNumberFormat="1" applyFont="1" applyBorder="1"/>
    <xf numFmtId="40" fontId="7" fillId="0" borderId="1" xfId="0" applyNumberFormat="1" applyFont="1" applyBorder="1"/>
    <xf numFmtId="0" fontId="7" fillId="0" borderId="2" xfId="0" applyFont="1" applyBorder="1" applyAlignment="1">
      <alignment horizontal="left" indent="3"/>
    </xf>
    <xf numFmtId="0" fontId="7" fillId="0" borderId="2" xfId="0" applyFont="1" applyBorder="1" applyAlignment="1">
      <alignment horizontal="left" indent="6"/>
    </xf>
    <xf numFmtId="0" fontId="7" fillId="0" borderId="1" xfId="0" applyFont="1" applyBorder="1" applyAlignment="1">
      <alignment horizontal="left" vertical="center" indent="3"/>
    </xf>
    <xf numFmtId="0" fontId="35" fillId="0" borderId="0" xfId="0" applyFont="1"/>
    <xf numFmtId="41" fontId="7" fillId="0" borderId="1" xfId="2" applyNumberFormat="1" applyFont="1" applyBorder="1"/>
    <xf numFmtId="42" fontId="9" fillId="0" borderId="1" xfId="2" applyNumberFormat="1" applyFont="1" applyBorder="1"/>
    <xf numFmtId="6" fontId="7" fillId="0" borderId="1" xfId="0" applyNumberFormat="1" applyFont="1" applyBorder="1"/>
    <xf numFmtId="0" fontId="36" fillId="0" borderId="0" xfId="0" applyFont="1" applyAlignment="1">
      <alignment horizontal="left" vertical="center"/>
    </xf>
    <xf numFmtId="0" fontId="36" fillId="0" borderId="0" xfId="0" applyFont="1" applyAlignment="1">
      <alignment vertical="center"/>
    </xf>
    <xf numFmtId="41" fontId="15" fillId="6" borderId="1" xfId="0" applyNumberFormat="1" applyFont="1" applyFill="1" applyBorder="1" applyProtection="1">
      <protection locked="0"/>
    </xf>
    <xf numFmtId="0" fontId="7" fillId="0" borderId="1" xfId="0" applyFont="1" applyBorder="1" applyAlignment="1">
      <alignment wrapText="1"/>
    </xf>
    <xf numFmtId="0" fontId="17" fillId="0" borderId="0" xfId="0" applyFont="1" applyAlignment="1">
      <alignment wrapText="1"/>
    </xf>
    <xf numFmtId="0" fontId="26" fillId="5" borderId="0" xfId="0" applyFont="1" applyFill="1"/>
    <xf numFmtId="0" fontId="15" fillId="0" borderId="1" xfId="0" applyFont="1" applyBorder="1" applyAlignment="1">
      <alignment wrapText="1"/>
    </xf>
    <xf numFmtId="0" fontId="9" fillId="0" borderId="1" xfId="0" applyFont="1" applyBorder="1" applyAlignment="1">
      <alignment wrapText="1"/>
    </xf>
    <xf numFmtId="0" fontId="25" fillId="0" borderId="0" xfId="0" applyFont="1" applyAlignment="1">
      <alignment horizontal="center"/>
    </xf>
    <xf numFmtId="1" fontId="7" fillId="0" borderId="1" xfId="0" applyNumberFormat="1" applyFont="1" applyBorder="1"/>
    <xf numFmtId="44" fontId="9" fillId="0" borderId="0" xfId="2" applyFont="1" applyAlignment="1">
      <alignment horizontal="right" vertical="center"/>
    </xf>
    <xf numFmtId="1" fontId="17" fillId="0" borderId="0" xfId="1" applyNumberFormat="1" applyFont="1" applyAlignment="1">
      <alignment horizontal="left" vertical="center"/>
    </xf>
    <xf numFmtId="44" fontId="16" fillId="0" borderId="0" xfId="2" applyFont="1" applyAlignment="1">
      <alignment horizontal="center"/>
    </xf>
    <xf numFmtId="44" fontId="7" fillId="0" borderId="1" xfId="0" applyNumberFormat="1" applyFont="1" applyBorder="1" applyAlignment="1">
      <alignment horizontal="left" vertical="center" wrapText="1"/>
    </xf>
    <xf numFmtId="42" fontId="9" fillId="0" borderId="1" xfId="0" applyNumberFormat="1" applyFont="1" applyBorder="1" applyAlignment="1">
      <alignment vertical="center"/>
    </xf>
    <xf numFmtId="42" fontId="7" fillId="0" borderId="0" xfId="2" applyNumberFormat="1" applyFont="1" applyAlignment="1">
      <alignment vertical="center"/>
    </xf>
    <xf numFmtId="44" fontId="7" fillId="0" borderId="0" xfId="0" applyNumberFormat="1" applyFont="1" applyAlignment="1">
      <alignment horizontal="left"/>
    </xf>
    <xf numFmtId="44" fontId="7" fillId="0" borderId="0" xfId="0" applyNumberFormat="1" applyFont="1" applyAlignment="1">
      <alignment horizontal="left" vertical="center" wrapText="1"/>
    </xf>
    <xf numFmtId="42" fontId="7" fillId="0" borderId="0" xfId="0" applyNumberFormat="1" applyFont="1" applyAlignment="1">
      <alignment horizontal="left" vertical="center"/>
    </xf>
    <xf numFmtId="0" fontId="9" fillId="0" borderId="0" xfId="0" applyFont="1" applyAlignment="1">
      <alignment vertical="center" wrapText="1"/>
    </xf>
    <xf numFmtId="42" fontId="7" fillId="0" borderId="0" xfId="0" applyNumberFormat="1" applyFont="1" applyAlignment="1">
      <alignment vertical="center"/>
    </xf>
    <xf numFmtId="44" fontId="7" fillId="0" borderId="0" xfId="2" applyFont="1" applyAlignment="1">
      <alignment vertical="center"/>
    </xf>
    <xf numFmtId="41" fontId="7" fillId="0" borderId="0" xfId="0" applyNumberFormat="1" applyFont="1" applyAlignment="1">
      <alignment vertical="center"/>
    </xf>
    <xf numFmtId="41" fontId="7" fillId="0" borderId="0" xfId="2" applyNumberFormat="1" applyFont="1" applyAlignment="1">
      <alignment vertical="center"/>
    </xf>
    <xf numFmtId="41" fontId="15" fillId="0" borderId="0" xfId="5" applyNumberFormat="1" applyFont="1" applyProtection="1">
      <protection locked="0"/>
    </xf>
    <xf numFmtId="42" fontId="7" fillId="0" borderId="0" xfId="0" applyNumberFormat="1" applyFont="1" applyAlignment="1">
      <alignment vertical="center" wrapText="1"/>
    </xf>
    <xf numFmtId="42" fontId="7" fillId="0" borderId="0" xfId="2" applyNumberFormat="1" applyFont="1" applyAlignment="1">
      <alignment vertical="center" wrapText="1"/>
    </xf>
    <xf numFmtId="4" fontId="7" fillId="0" borderId="0" xfId="0" applyNumberFormat="1" applyFont="1" applyAlignment="1">
      <alignment vertical="center" wrapText="1"/>
    </xf>
    <xf numFmtId="42" fontId="7" fillId="0" borderId="0" xfId="0" applyNumberFormat="1" applyFont="1"/>
    <xf numFmtId="0" fontId="9" fillId="0" borderId="1" xfId="0" applyFont="1" applyBorder="1" applyAlignment="1">
      <alignment vertical="center" wrapText="1"/>
    </xf>
    <xf numFmtId="166" fontId="9" fillId="0" borderId="1" xfId="1" applyNumberFormat="1" applyFont="1" applyBorder="1"/>
    <xf numFmtId="0" fontId="7" fillId="0" borderId="1" xfId="0" applyFont="1" applyBorder="1" applyAlignment="1">
      <alignment horizontal="left" indent="4"/>
    </xf>
    <xf numFmtId="169" fontId="7" fillId="0" borderId="1" xfId="1" applyNumberFormat="1" applyFont="1" applyBorder="1"/>
    <xf numFmtId="169" fontId="7" fillId="0" borderId="1" xfId="0" applyNumberFormat="1" applyFont="1" applyBorder="1"/>
    <xf numFmtId="43" fontId="7" fillId="0" borderId="1" xfId="1" applyFont="1" applyBorder="1"/>
    <xf numFmtId="166" fontId="7" fillId="0" borderId="1" xfId="1" applyNumberFormat="1" applyFont="1" applyBorder="1"/>
    <xf numFmtId="0" fontId="33" fillId="0" borderId="0" xfId="3" applyFont="1" applyAlignment="1">
      <alignment horizontal="center" vertical="center" wrapText="1"/>
    </xf>
    <xf numFmtId="0" fontId="28" fillId="0" borderId="0" xfId="3" applyFont="1" applyAlignment="1">
      <alignment horizontal="center" vertical="center" wrapText="1"/>
    </xf>
    <xf numFmtId="0" fontId="15" fillId="5" borderId="8" xfId="0" quotePrefix="1" applyFont="1" applyFill="1" applyBorder="1" applyAlignment="1">
      <alignment horizontal="right" vertical="center"/>
    </xf>
    <xf numFmtId="0" fontId="15" fillId="0" borderId="8" xfId="0" quotePrefix="1" applyFont="1" applyBorder="1" applyAlignment="1">
      <alignment horizontal="right" vertical="center"/>
    </xf>
    <xf numFmtId="42" fontId="15" fillId="0" borderId="1" xfId="0" applyNumberFormat="1" applyFont="1" applyBorder="1" applyAlignment="1">
      <alignment horizontal="right" vertical="center"/>
    </xf>
    <xf numFmtId="42" fontId="7" fillId="0" borderId="5" xfId="0" quotePrefix="1" applyNumberFormat="1" applyFont="1" applyBorder="1" applyAlignment="1">
      <alignment horizontal="right" vertical="center"/>
    </xf>
    <xf numFmtId="42" fontId="15" fillId="0" borderId="1" xfId="0" quotePrefix="1" applyNumberFormat="1" applyFont="1" applyBorder="1" applyAlignment="1">
      <alignment horizontal="right" vertical="center"/>
    </xf>
    <xf numFmtId="42" fontId="7" fillId="0" borderId="1" xfId="0" quotePrefix="1" applyNumberFormat="1" applyFont="1" applyBorder="1" applyAlignment="1">
      <alignment horizontal="right" vertical="center"/>
    </xf>
    <xf numFmtId="42" fontId="15" fillId="0" borderId="5" xfId="0" quotePrefix="1" applyNumberFormat="1" applyFont="1" applyBorder="1" applyAlignment="1">
      <alignment horizontal="right" vertical="center"/>
    </xf>
    <xf numFmtId="37" fontId="15" fillId="8" borderId="1" xfId="1" applyNumberFormat="1" applyFont="1" applyFill="1" applyBorder="1" applyAlignment="1">
      <alignment horizontal="right" vertical="center"/>
    </xf>
    <xf numFmtId="37" fontId="15" fillId="8" borderId="1" xfId="0" applyNumberFormat="1" applyFont="1" applyFill="1" applyBorder="1" applyAlignment="1">
      <alignment horizontal="right" vertical="center"/>
    </xf>
    <xf numFmtId="41" fontId="15" fillId="8" borderId="1" xfId="1" applyNumberFormat="1" applyFont="1" applyFill="1" applyBorder="1" applyAlignment="1">
      <alignment horizontal="right" vertical="center"/>
    </xf>
    <xf numFmtId="41" fontId="15" fillId="8" borderId="1" xfId="0" applyNumberFormat="1" applyFont="1" applyFill="1" applyBorder="1" applyAlignment="1">
      <alignment horizontal="right" vertical="center"/>
    </xf>
    <xf numFmtId="9" fontId="9" fillId="0" borderId="0" xfId="0" applyNumberFormat="1" applyFont="1" applyAlignment="1">
      <alignment horizontal="center"/>
    </xf>
    <xf numFmtId="9" fontId="9" fillId="0" borderId="0" xfId="0" applyNumberFormat="1" applyFont="1"/>
    <xf numFmtId="43" fontId="9" fillId="0" borderId="0" xfId="0" applyNumberFormat="1" applyFont="1" applyAlignment="1">
      <alignment horizontal="center" vertical="center"/>
    </xf>
    <xf numFmtId="9" fontId="7" fillId="0" borderId="0" xfId="0" applyNumberFormat="1" applyFont="1" applyAlignment="1">
      <alignment horizontal="center"/>
    </xf>
    <xf numFmtId="9" fontId="7" fillId="0" borderId="0" xfId="0" applyNumberFormat="1" applyFont="1"/>
    <xf numFmtId="166" fontId="9" fillId="0" borderId="1" xfId="0" applyNumberFormat="1" applyFont="1" applyBorder="1" applyAlignment="1">
      <alignment horizontal="right" vertical="center"/>
    </xf>
    <xf numFmtId="166" fontId="9" fillId="0" borderId="1" xfId="0" applyNumberFormat="1" applyFont="1" applyBorder="1"/>
    <xf numFmtId="41" fontId="15" fillId="5" borderId="5" xfId="1" applyNumberFormat="1" applyFont="1" applyFill="1" applyBorder="1" applyAlignment="1">
      <alignment horizontal="right" vertical="center"/>
    </xf>
    <xf numFmtId="41" fontId="7" fillId="5" borderId="1" xfId="1" applyNumberFormat="1" applyFont="1" applyFill="1" applyBorder="1" applyAlignment="1">
      <alignment horizontal="right" vertical="center"/>
    </xf>
    <xf numFmtId="41" fontId="7" fillId="0" borderId="1" xfId="1" applyNumberFormat="1" applyFont="1" applyBorder="1" applyAlignment="1">
      <alignment horizontal="right" vertical="center"/>
    </xf>
    <xf numFmtId="37" fontId="9" fillId="0" borderId="5" xfId="1" applyNumberFormat="1" applyFont="1" applyBorder="1" applyAlignment="1">
      <alignment horizontal="right" vertical="center"/>
    </xf>
    <xf numFmtId="37" fontId="9" fillId="0" borderId="5" xfId="0" applyNumberFormat="1" applyFont="1" applyBorder="1" applyAlignment="1">
      <alignment horizontal="right" vertical="center"/>
    </xf>
    <xf numFmtId="37" fontId="9" fillId="0" borderId="1" xfId="0" applyNumberFormat="1" applyFont="1" applyBorder="1" applyAlignment="1">
      <alignment horizontal="right" vertical="center"/>
    </xf>
    <xf numFmtId="41" fontId="7" fillId="8" borderId="1" xfId="1" applyNumberFormat="1" applyFont="1" applyFill="1" applyBorder="1" applyAlignment="1">
      <alignment horizontal="right" vertical="center"/>
    </xf>
    <xf numFmtId="42" fontId="15" fillId="0" borderId="1" xfId="0" applyNumberFormat="1" applyFont="1" applyBorder="1"/>
    <xf numFmtId="0" fontId="15" fillId="0" borderId="1" xfId="0" applyFont="1" applyBorder="1" applyAlignment="1" applyProtection="1">
      <alignment horizontal="left"/>
      <protection locked="0"/>
    </xf>
    <xf numFmtId="42" fontId="15" fillId="0" borderId="6" xfId="0" applyNumberFormat="1" applyFont="1" applyBorder="1"/>
    <xf numFmtId="42" fontId="7" fillId="0" borderId="6" xfId="1" applyNumberFormat="1" applyFont="1" applyBorder="1"/>
    <xf numFmtId="42" fontId="9" fillId="0" borderId="6" xfId="0" applyNumberFormat="1" applyFont="1" applyBorder="1"/>
    <xf numFmtId="41" fontId="7" fillId="0" borderId="6" xfId="1" applyNumberFormat="1" applyFont="1" applyBorder="1" applyAlignment="1">
      <alignment horizontal="right"/>
    </xf>
    <xf numFmtId="42" fontId="15" fillId="0" borderId="5" xfId="0" applyNumberFormat="1" applyFont="1" applyBorder="1"/>
    <xf numFmtId="41" fontId="7" fillId="8" borderId="1" xfId="1" applyNumberFormat="1" applyFont="1" applyFill="1" applyBorder="1" applyAlignment="1" applyProtection="1">
      <alignment horizontal="center"/>
      <protection locked="0"/>
    </xf>
    <xf numFmtId="41" fontId="15" fillId="8" borderId="1" xfId="0" applyNumberFormat="1" applyFont="1" applyFill="1" applyBorder="1" applyProtection="1">
      <protection locked="0"/>
    </xf>
    <xf numFmtId="41" fontId="7" fillId="8" borderId="5" xfId="1" applyNumberFormat="1" applyFont="1" applyFill="1" applyBorder="1" applyAlignment="1" applyProtection="1">
      <alignment horizontal="center"/>
      <protection locked="0"/>
    </xf>
    <xf numFmtId="41" fontId="15" fillId="8" borderId="5" xfId="0" applyNumberFormat="1" applyFont="1" applyFill="1" applyBorder="1" applyProtection="1">
      <protection locked="0"/>
    </xf>
    <xf numFmtId="42" fontId="15" fillId="8" borderId="1" xfId="0" applyNumberFormat="1" applyFont="1" applyFill="1" applyBorder="1" applyProtection="1">
      <protection locked="0"/>
    </xf>
    <xf numFmtId="42" fontId="7" fillId="0" borderId="0" xfId="0" applyNumberFormat="1" applyFont="1" applyAlignment="1">
      <alignment horizontal="center"/>
    </xf>
    <xf numFmtId="166" fontId="9" fillId="0" borderId="1" xfId="0" applyNumberFormat="1" applyFont="1" applyBorder="1" applyAlignment="1">
      <alignment horizontal="right"/>
    </xf>
    <xf numFmtId="42" fontId="7" fillId="0" borderId="1" xfId="0" applyNumberFormat="1" applyFont="1" applyBorder="1" applyAlignment="1">
      <alignment horizontal="left" vertical="center" wrapText="1"/>
    </xf>
    <xf numFmtId="42" fontId="7" fillId="0" borderId="1" xfId="1" applyNumberFormat="1" applyFont="1" applyBorder="1" applyAlignment="1">
      <alignment horizontal="right"/>
    </xf>
    <xf numFmtId="41" fontId="9" fillId="0" borderId="1" xfId="0" applyNumberFormat="1" applyFont="1" applyBorder="1"/>
    <xf numFmtId="0" fontId="28" fillId="0" borderId="0" xfId="3" applyFont="1" applyAlignment="1">
      <alignment vertical="center"/>
    </xf>
    <xf numFmtId="0" fontId="7" fillId="0" borderId="1" xfId="0" applyFont="1" applyBorder="1" applyAlignment="1" applyProtection="1">
      <alignment horizontal="left"/>
      <protection locked="0"/>
    </xf>
    <xf numFmtId="0" fontId="37" fillId="8" borderId="6" xfId="0" applyFont="1" applyFill="1" applyBorder="1" applyAlignment="1" applyProtection="1">
      <alignment horizontal="center"/>
      <protection locked="0"/>
    </xf>
    <xf numFmtId="0" fontId="7" fillId="0" borderId="6" xfId="0" applyFont="1" applyBorder="1"/>
    <xf numFmtId="42" fontId="7" fillId="0" borderId="6" xfId="0" applyNumberFormat="1" applyFont="1" applyBorder="1"/>
    <xf numFmtId="41" fontId="7" fillId="8" borderId="6" xfId="2" applyNumberFormat="1" applyFont="1" applyFill="1" applyBorder="1" applyProtection="1">
      <protection locked="0"/>
    </xf>
    <xf numFmtId="42" fontId="7" fillId="0" borderId="6" xfId="2" applyNumberFormat="1" applyFont="1" applyBorder="1"/>
    <xf numFmtId="10" fontId="7" fillId="8" borderId="6" xfId="5" applyNumberFormat="1" applyFont="1" applyFill="1" applyBorder="1" applyProtection="1">
      <protection locked="0"/>
    </xf>
    <xf numFmtId="10" fontId="7" fillId="0" borderId="6" xfId="5" applyNumberFormat="1" applyFont="1" applyBorder="1" applyProtection="1">
      <protection locked="0"/>
    </xf>
    <xf numFmtId="42" fontId="7" fillId="0" borderId="6" xfId="5" applyNumberFormat="1" applyFont="1" applyBorder="1"/>
    <xf numFmtId="41" fontId="7" fillId="0" borderId="6" xfId="2" applyNumberFormat="1" applyFont="1" applyBorder="1"/>
    <xf numFmtId="166" fontId="7" fillId="8" borderId="6" xfId="0" applyNumberFormat="1" applyFont="1" applyFill="1" applyBorder="1" applyProtection="1">
      <protection locked="0"/>
    </xf>
    <xf numFmtId="164" fontId="15" fillId="0" borderId="6" xfId="1" applyNumberFormat="1" applyFont="1" applyBorder="1" applyAlignment="1" applyProtection="1">
      <alignment horizontal="right" vertical="center"/>
      <protection locked="0"/>
    </xf>
    <xf numFmtId="0" fontId="15" fillId="0" borderId="6" xfId="0" applyFont="1" applyBorder="1" applyAlignment="1" applyProtection="1">
      <alignment horizontal="left" indent="3"/>
      <protection locked="0"/>
    </xf>
    <xf numFmtId="0" fontId="9" fillId="0" borderId="6" xfId="4" applyFont="1" applyFill="1" applyBorder="1"/>
    <xf numFmtId="0" fontId="9" fillId="0" borderId="6" xfId="0" applyFont="1" applyBorder="1" applyAlignment="1">
      <alignment horizontal="center"/>
    </xf>
    <xf numFmtId="0" fontId="15" fillId="8" borderId="6" xfId="0" applyFont="1" applyFill="1" applyBorder="1" applyProtection="1">
      <protection locked="0"/>
    </xf>
    <xf numFmtId="0" fontId="9" fillId="0" borderId="4" xfId="0" applyFont="1" applyBorder="1" applyAlignment="1">
      <alignment horizontal="center" vertical="center"/>
    </xf>
    <xf numFmtId="0" fontId="31" fillId="0" borderId="3" xfId="0" applyFont="1" applyBorder="1" applyAlignment="1">
      <alignment horizontal="center" vertical="center" wrapText="1"/>
    </xf>
    <xf numFmtId="0" fontId="9" fillId="0" borderId="6" xfId="0" applyFont="1" applyBorder="1" applyAlignment="1">
      <alignment horizontal="center" vertical="center" wrapText="1"/>
    </xf>
    <xf numFmtId="0" fontId="9" fillId="0" borderId="4" xfId="0" applyFont="1" applyBorder="1" applyAlignment="1">
      <alignment horizontal="center" vertical="center" wrapText="1"/>
    </xf>
    <xf numFmtId="166" fontId="7" fillId="8" borderId="6" xfId="5" applyNumberFormat="1" applyFont="1" applyFill="1" applyBorder="1" applyProtection="1">
      <protection locked="0"/>
    </xf>
    <xf numFmtId="0" fontId="15" fillId="0" borderId="6" xfId="0" applyFont="1" applyBorder="1"/>
    <xf numFmtId="0" fontId="15" fillId="8" borderId="6" xfId="0" applyFont="1" applyFill="1" applyBorder="1"/>
    <xf numFmtId="49" fontId="39" fillId="12" borderId="16" xfId="7" applyFont="1" applyFill="1" applyBorder="1" applyAlignment="1">
      <alignment horizontal="center" wrapText="1"/>
    </xf>
    <xf numFmtId="41" fontId="7" fillId="0" borderId="6" xfId="0" applyNumberFormat="1" applyFont="1" applyBorder="1"/>
    <xf numFmtId="49" fontId="40" fillId="12" borderId="16" xfId="7" applyFont="1" applyFill="1" applyBorder="1">
      <alignment wrapText="1"/>
    </xf>
    <xf numFmtId="49" fontId="40" fillId="12" borderId="16" xfId="7" applyFont="1" applyFill="1" applyBorder="1" applyProtection="1">
      <alignment wrapText="1"/>
      <protection locked="0"/>
    </xf>
    <xf numFmtId="0" fontId="9" fillId="0" borderId="6" xfId="0" applyFont="1" applyBorder="1" applyAlignment="1">
      <alignment horizontal="left"/>
    </xf>
    <xf numFmtId="164" fontId="7" fillId="0" borderId="6" xfId="1" applyNumberFormat="1" applyFont="1" applyBorder="1"/>
    <xf numFmtId="164" fontId="9" fillId="0" borderId="6" xfId="1" applyNumberFormat="1" applyFont="1" applyBorder="1"/>
    <xf numFmtId="0" fontId="7" fillId="0" borderId="4" xfId="0" applyFont="1" applyBorder="1" applyAlignment="1">
      <alignment horizontal="left" vertical="center"/>
    </xf>
    <xf numFmtId="9" fontId="7" fillId="0" borderId="6" xfId="0" applyNumberFormat="1" applyFont="1" applyBorder="1" applyAlignment="1">
      <alignment horizontal="center"/>
    </xf>
    <xf numFmtId="9" fontId="7" fillId="0" borderId="6" xfId="0" applyNumberFormat="1" applyFont="1" applyBorder="1" applyAlignment="1">
      <alignment horizontal="right"/>
    </xf>
    <xf numFmtId="9" fontId="7" fillId="0" borderId="6" xfId="0" applyNumberFormat="1" applyFont="1" applyBorder="1"/>
    <xf numFmtId="0" fontId="7" fillId="0" borderId="6" xfId="0" applyFont="1" applyBorder="1" applyAlignment="1" applyProtection="1">
      <alignment horizontal="left"/>
      <protection locked="0"/>
    </xf>
    <xf numFmtId="9" fontId="7" fillId="0" borderId="6" xfId="1" applyNumberFormat="1" applyFont="1" applyBorder="1" applyAlignment="1">
      <alignment horizontal="center"/>
    </xf>
    <xf numFmtId="9" fontId="7" fillId="0" borderId="6" xfId="1" applyNumberFormat="1" applyFont="1" applyBorder="1"/>
    <xf numFmtId="0" fontId="9" fillId="0" borderId="7" xfId="0" applyFont="1" applyBorder="1" applyAlignment="1">
      <alignment horizontal="left"/>
    </xf>
    <xf numFmtId="42" fontId="9" fillId="0" borderId="5" xfId="0" applyNumberFormat="1" applyFont="1" applyBorder="1"/>
    <xf numFmtId="9" fontId="9" fillId="0" borderId="5" xfId="0" applyNumberFormat="1" applyFont="1" applyBorder="1" applyAlignment="1">
      <alignment horizontal="center"/>
    </xf>
    <xf numFmtId="0" fontId="9" fillId="12" borderId="1" xfId="0" applyFont="1" applyFill="1" applyBorder="1" applyAlignment="1">
      <alignment horizontal="left"/>
    </xf>
    <xf numFmtId="42" fontId="9" fillId="12" borderId="1" xfId="0" applyNumberFormat="1" applyFont="1" applyFill="1" applyBorder="1"/>
    <xf numFmtId="9" fontId="9" fillId="12" borderId="1" xfId="0" applyNumberFormat="1" applyFont="1" applyFill="1" applyBorder="1" applyAlignment="1">
      <alignment horizontal="center"/>
    </xf>
    <xf numFmtId="0" fontId="7" fillId="0" borderId="6" xfId="0" applyFont="1" applyBorder="1" applyAlignment="1">
      <alignment horizontal="left" indent="3"/>
    </xf>
    <xf numFmtId="0" fontId="40" fillId="0" borderId="21" xfId="0" applyFont="1" applyBorder="1" applyAlignment="1">
      <alignment horizontal="left"/>
    </xf>
    <xf numFmtId="40" fontId="41" fillId="0" borderId="16" xfId="0" applyNumberFormat="1" applyFont="1" applyBorder="1"/>
    <xf numFmtId="9" fontId="41" fillId="0" borderId="16" xfId="0" applyNumberFormat="1" applyFont="1" applyBorder="1" applyAlignment="1">
      <alignment horizontal="center"/>
    </xf>
    <xf numFmtId="9" fontId="41" fillId="0" borderId="16" xfId="0" applyNumberFormat="1" applyFont="1" applyBorder="1"/>
    <xf numFmtId="40" fontId="7" fillId="0" borderId="6" xfId="1" applyNumberFormat="1" applyFont="1" applyBorder="1"/>
    <xf numFmtId="0" fontId="7" fillId="0" borderId="6" xfId="0" applyFont="1" applyBorder="1" applyAlignment="1">
      <alignment horizontal="left" vertical="center"/>
    </xf>
    <xf numFmtId="165" fontId="7" fillId="0" borderId="6" xfId="1" applyNumberFormat="1" applyFont="1" applyBorder="1"/>
    <xf numFmtId="42" fontId="7" fillId="0" borderId="6" xfId="0" applyNumberFormat="1" applyFont="1" applyBorder="1" applyAlignment="1">
      <alignment horizontal="right"/>
    </xf>
    <xf numFmtId="44" fontId="7" fillId="0" borderId="6" xfId="0" applyNumberFormat="1" applyFont="1" applyBorder="1" applyAlignment="1">
      <alignment horizontal="left" vertical="center" wrapText="1"/>
    </xf>
    <xf numFmtId="166" fontId="7" fillId="0" borderId="6" xfId="0" applyNumberFormat="1" applyFont="1" applyBorder="1" applyAlignment="1">
      <alignment horizontal="right" vertical="center" wrapText="1"/>
    </xf>
    <xf numFmtId="0" fontId="7" fillId="0" borderId="6" xfId="0" applyFont="1" applyBorder="1" applyAlignment="1">
      <alignment horizontal="left" indent="2"/>
    </xf>
    <xf numFmtId="165" fontId="7" fillId="0" borderId="6" xfId="2" applyNumberFormat="1" applyFont="1" applyBorder="1"/>
    <xf numFmtId="10" fontId="7" fillId="0" borderId="6" xfId="5" applyNumberFormat="1" applyFont="1" applyBorder="1"/>
    <xf numFmtId="166" fontId="9" fillId="0" borderId="6" xfId="5" applyNumberFormat="1" applyFont="1" applyBorder="1"/>
    <xf numFmtId="0" fontId="7" fillId="0" borderId="6" xfId="5" applyNumberFormat="1" applyFont="1" applyBorder="1"/>
    <xf numFmtId="0" fontId="7" fillId="0" borderId="6" xfId="1" applyNumberFormat="1" applyFont="1" applyBorder="1"/>
    <xf numFmtId="42" fontId="9" fillId="0" borderId="6" xfId="1" applyNumberFormat="1" applyFont="1" applyBorder="1"/>
    <xf numFmtId="42" fontId="9" fillId="0" borderId="6" xfId="2" applyNumberFormat="1" applyFont="1" applyBorder="1"/>
    <xf numFmtId="0" fontId="7" fillId="8" borderId="6" xfId="0" applyFont="1" applyFill="1" applyBorder="1" applyAlignment="1" applyProtection="1">
      <alignment vertical="center"/>
      <protection locked="0"/>
    </xf>
    <xf numFmtId="44" fontId="7" fillId="0" borderId="6" xfId="2" applyFont="1" applyBorder="1"/>
    <xf numFmtId="168" fontId="7" fillId="0" borderId="6" xfId="0" applyNumberFormat="1" applyFont="1" applyBorder="1"/>
    <xf numFmtId="0" fontId="42" fillId="0" borderId="0" xfId="0" applyFont="1"/>
    <xf numFmtId="0" fontId="44" fillId="0" borderId="0" xfId="0" applyFont="1" applyAlignment="1">
      <alignment horizontal="left" vertical="center"/>
    </xf>
    <xf numFmtId="0" fontId="43" fillId="0" borderId="0" xfId="0" applyFont="1"/>
    <xf numFmtId="0" fontId="45" fillId="0" borderId="0" xfId="0" applyFont="1"/>
    <xf numFmtId="0" fontId="46" fillId="0" borderId="0" xfId="0" applyFont="1"/>
    <xf numFmtId="49" fontId="47" fillId="12" borderId="16" xfId="7" applyFont="1" applyFill="1" applyBorder="1" applyAlignment="1">
      <alignment horizontal="center" wrapText="1"/>
    </xf>
    <xf numFmtId="0" fontId="48" fillId="0" borderId="3" xfId="0" applyFont="1" applyBorder="1" applyAlignment="1">
      <alignment vertical="center"/>
    </xf>
    <xf numFmtId="0" fontId="43" fillId="0" borderId="4" xfId="0" applyFont="1" applyBorder="1"/>
    <xf numFmtId="0" fontId="46" fillId="0" borderId="6" xfId="0" applyFont="1" applyBorder="1"/>
    <xf numFmtId="0" fontId="46" fillId="0" borderId="3" xfId="0" applyFont="1" applyBorder="1" applyProtection="1">
      <protection locked="0"/>
    </xf>
    <xf numFmtId="0" fontId="43" fillId="0" borderId="1" xfId="0" applyFont="1" applyBorder="1" applyAlignment="1">
      <alignment horizontal="left"/>
    </xf>
    <xf numFmtId="41" fontId="46" fillId="8" borderId="4" xfId="2" applyNumberFormat="1" applyFont="1" applyFill="1" applyBorder="1" applyProtection="1">
      <protection locked="0"/>
    </xf>
    <xf numFmtId="41" fontId="46" fillId="8" borderId="2" xfId="1" applyNumberFormat="1" applyFont="1" applyFill="1" applyBorder="1" applyProtection="1">
      <protection locked="0"/>
    </xf>
    <xf numFmtId="41" fontId="46" fillId="8" borderId="1" xfId="1" applyNumberFormat="1" applyFont="1" applyFill="1" applyBorder="1" applyProtection="1">
      <protection locked="0"/>
    </xf>
    <xf numFmtId="43" fontId="46" fillId="0" borderId="3" xfId="1" applyFont="1" applyBorder="1" applyProtection="1">
      <protection locked="0"/>
    </xf>
    <xf numFmtId="0" fontId="43" fillId="0" borderId="1" xfId="0" applyFont="1" applyBorder="1"/>
    <xf numFmtId="42" fontId="46" fillId="0" borderId="1" xfId="1" applyNumberFormat="1" applyFont="1" applyBorder="1"/>
    <xf numFmtId="42" fontId="46" fillId="0" borderId="8" xfId="1" applyNumberFormat="1" applyFont="1" applyBorder="1"/>
    <xf numFmtId="0" fontId="42" fillId="0" borderId="3" xfId="0" applyFont="1" applyBorder="1"/>
    <xf numFmtId="0" fontId="47" fillId="0" borderId="25" xfId="0" applyFont="1" applyBorder="1" applyAlignment="1">
      <alignment horizontal="center"/>
    </xf>
    <xf numFmtId="164" fontId="47" fillId="0" borderId="24" xfId="1" applyNumberFormat="1" applyFont="1" applyBorder="1" applyAlignment="1">
      <alignment horizontal="center"/>
    </xf>
    <xf numFmtId="0" fontId="43" fillId="0" borderId="6" xfId="0" applyFont="1" applyBorder="1"/>
    <xf numFmtId="41" fontId="46" fillId="8" borderId="4" xfId="1" applyNumberFormat="1" applyFont="1" applyFill="1" applyBorder="1" applyProtection="1">
      <protection locked="0"/>
    </xf>
    <xf numFmtId="0" fontId="49" fillId="0" borderId="0" xfId="0" applyFont="1" applyAlignment="1">
      <alignment wrapText="1"/>
    </xf>
    <xf numFmtId="0" fontId="43" fillId="0" borderId="2" xfId="0" applyFont="1" applyBorder="1"/>
    <xf numFmtId="42" fontId="46" fillId="0" borderId="2" xfId="0" applyNumberFormat="1" applyFont="1" applyBorder="1"/>
    <xf numFmtId="42" fontId="43" fillId="0" borderId="2" xfId="0" applyNumberFormat="1" applyFont="1" applyBorder="1"/>
    <xf numFmtId="165" fontId="46" fillId="0" borderId="0" xfId="0" applyNumberFormat="1" applyFont="1"/>
    <xf numFmtId="0" fontId="46" fillId="0" borderId="0" xfId="0" applyFont="1" applyProtection="1">
      <protection locked="0"/>
    </xf>
    <xf numFmtId="0" fontId="43" fillId="0" borderId="6" xfId="0" applyFont="1" applyBorder="1" applyAlignment="1">
      <alignment horizontal="right"/>
    </xf>
    <xf numFmtId="0" fontId="42" fillId="0" borderId="6" xfId="0" applyFont="1" applyBorder="1"/>
    <xf numFmtId="0" fontId="46" fillId="0" borderId="1" xfId="0" applyFont="1" applyBorder="1"/>
    <xf numFmtId="0" fontId="42" fillId="0" borderId="1" xfId="0" applyFont="1" applyBorder="1"/>
    <xf numFmtId="0" fontId="43" fillId="0" borderId="1" xfId="0" applyFont="1" applyBorder="1" applyAlignment="1">
      <alignment horizontal="left" indent="1"/>
    </xf>
    <xf numFmtId="10" fontId="46" fillId="8" borderId="1" xfId="5" applyNumberFormat="1" applyFont="1" applyFill="1" applyBorder="1" applyProtection="1">
      <protection locked="0"/>
    </xf>
    <xf numFmtId="38" fontId="46" fillId="8" borderId="1" xfId="1" applyNumberFormat="1" applyFont="1" applyFill="1" applyBorder="1" applyProtection="1">
      <protection locked="0"/>
    </xf>
    <xf numFmtId="41" fontId="46" fillId="0" borderId="1" xfId="0" applyNumberFormat="1" applyFont="1" applyBorder="1"/>
    <xf numFmtId="0" fontId="42" fillId="0" borderId="5" xfId="0" applyFont="1" applyBorder="1"/>
    <xf numFmtId="42" fontId="43" fillId="0" borderId="1" xfId="0" applyNumberFormat="1" applyFont="1" applyBorder="1"/>
    <xf numFmtId="0" fontId="51" fillId="0" borderId="0" xfId="0" applyFont="1"/>
    <xf numFmtId="41" fontId="46" fillId="0" borderId="6" xfId="0" applyNumberFormat="1" applyFont="1" applyBorder="1"/>
    <xf numFmtId="0" fontId="49" fillId="0" borderId="0" xfId="0" applyFont="1"/>
    <xf numFmtId="0" fontId="46" fillId="0" borderId="1" xfId="0" quotePrefix="1" applyFont="1" applyBorder="1"/>
    <xf numFmtId="0" fontId="52" fillId="0" borderId="0" xfId="0" applyFont="1"/>
    <xf numFmtId="41" fontId="7" fillId="0" borderId="6" xfId="0" applyNumberFormat="1" applyFont="1" applyBorder="1" applyAlignment="1">
      <alignment horizontal="right"/>
    </xf>
    <xf numFmtId="0" fontId="54" fillId="0" borderId="0" xfId="0" applyFont="1"/>
    <xf numFmtId="0" fontId="54" fillId="0" borderId="0" xfId="0" applyFont="1" applyProtection="1">
      <protection hidden="1"/>
    </xf>
    <xf numFmtId="0" fontId="40" fillId="12" borderId="16" xfId="7" applyNumberFormat="1" applyFont="1" applyFill="1" applyBorder="1">
      <alignment wrapText="1"/>
    </xf>
    <xf numFmtId="0" fontId="55" fillId="0" borderId="0" xfId="0" applyFont="1" applyAlignment="1" applyProtection="1">
      <alignment vertical="center" wrapText="1"/>
      <protection hidden="1"/>
    </xf>
    <xf numFmtId="10" fontId="46" fillId="0" borderId="6" xfId="5" applyNumberFormat="1" applyFont="1" applyBorder="1"/>
    <xf numFmtId="10" fontId="46" fillId="0" borderId="1" xfId="5" applyNumberFormat="1" applyFont="1" applyBorder="1"/>
    <xf numFmtId="0" fontId="56" fillId="0" borderId="0" xfId="0" applyFont="1"/>
    <xf numFmtId="0" fontId="57" fillId="0" borderId="0" xfId="0" applyFont="1" applyProtection="1">
      <protection hidden="1"/>
    </xf>
    <xf numFmtId="0" fontId="56" fillId="0" borderId="0" xfId="0" applyFont="1" applyProtection="1">
      <protection hidden="1"/>
    </xf>
    <xf numFmtId="42" fontId="56" fillId="0" borderId="0" xfId="0" applyNumberFormat="1" applyFont="1" applyProtection="1">
      <protection hidden="1"/>
    </xf>
    <xf numFmtId="42" fontId="9" fillId="0" borderId="1" xfId="0" applyNumberFormat="1" applyFont="1" applyBorder="1" applyAlignment="1">
      <alignment horizontal="right" vertical="center" wrapText="1"/>
    </xf>
    <xf numFmtId="167" fontId="7" fillId="8" borderId="6" xfId="0" applyNumberFormat="1" applyFont="1" applyFill="1" applyBorder="1" applyProtection="1">
      <protection locked="0"/>
    </xf>
    <xf numFmtId="2" fontId="7" fillId="8" borderId="6" xfId="2" applyNumberFormat="1" applyFont="1" applyFill="1" applyBorder="1" applyProtection="1">
      <protection locked="0"/>
    </xf>
    <xf numFmtId="167" fontId="7" fillId="8" borderId="1" xfId="0" applyNumberFormat="1" applyFont="1" applyFill="1" applyBorder="1" applyProtection="1">
      <protection locked="0"/>
    </xf>
    <xf numFmtId="2" fontId="7" fillId="8" borderId="1" xfId="2" applyNumberFormat="1" applyFont="1" applyFill="1" applyBorder="1" applyProtection="1">
      <protection locked="0"/>
    </xf>
    <xf numFmtId="9" fontId="56" fillId="0" borderId="0" xfId="0" applyNumberFormat="1" applyFont="1" applyAlignment="1">
      <alignment horizontal="center"/>
    </xf>
    <xf numFmtId="9" fontId="56" fillId="0" borderId="0" xfId="0" applyNumberFormat="1" applyFont="1"/>
    <xf numFmtId="0" fontId="57" fillId="0" borderId="0" xfId="0" applyFont="1" applyAlignment="1" applyProtection="1">
      <alignment horizontal="center"/>
      <protection hidden="1"/>
    </xf>
    <xf numFmtId="9" fontId="57" fillId="0" borderId="0" xfId="0" applyNumberFormat="1" applyFont="1" applyAlignment="1" applyProtection="1">
      <alignment horizontal="center"/>
      <protection hidden="1"/>
    </xf>
    <xf numFmtId="42" fontId="56" fillId="0" borderId="0" xfId="0" applyNumberFormat="1" applyFont="1" applyAlignment="1" applyProtection="1">
      <alignment horizontal="center"/>
      <protection hidden="1"/>
    </xf>
    <xf numFmtId="42" fontId="56" fillId="0" borderId="0" xfId="0" applyNumberFormat="1" applyFont="1"/>
    <xf numFmtId="42" fontId="56" fillId="0" borderId="0" xfId="0" applyNumberFormat="1" applyFont="1" applyAlignment="1">
      <alignment horizontal="center"/>
    </xf>
    <xf numFmtId="0" fontId="58" fillId="0" borderId="0" xfId="0" applyFont="1"/>
    <xf numFmtId="41" fontId="46" fillId="0" borderId="1" xfId="2" applyNumberFormat="1" applyFont="1" applyBorder="1" applyAlignment="1" applyProtection="1">
      <alignment horizontal="right"/>
      <protection locked="0"/>
    </xf>
    <xf numFmtId="44" fontId="7" fillId="0" borderId="1" xfId="2" applyFont="1" applyBorder="1" applyAlignment="1">
      <alignment horizontal="center"/>
    </xf>
    <xf numFmtId="37" fontId="7" fillId="0" borderId="1" xfId="0" applyNumberFormat="1" applyFont="1" applyBorder="1"/>
    <xf numFmtId="37" fontId="7" fillId="8" borderId="6" xfId="1" applyNumberFormat="1" applyFont="1" applyFill="1" applyBorder="1" applyProtection="1">
      <protection locked="0"/>
    </xf>
    <xf numFmtId="37" fontId="7" fillId="8" borderId="1" xfId="1" applyNumberFormat="1" applyFont="1" applyFill="1" applyBorder="1" applyProtection="1">
      <protection locked="0"/>
    </xf>
    <xf numFmtId="41" fontId="15" fillId="0" borderId="5" xfId="1" applyNumberFormat="1" applyFont="1" applyBorder="1" applyAlignment="1">
      <alignment horizontal="right" vertical="center"/>
    </xf>
    <xf numFmtId="41" fontId="46" fillId="13" borderId="2" xfId="1" applyNumberFormat="1" applyFont="1" applyFill="1" applyBorder="1" applyProtection="1">
      <protection locked="0"/>
    </xf>
    <xf numFmtId="41" fontId="15" fillId="8" borderId="5" xfId="1" applyNumberFormat="1" applyFont="1" applyFill="1" applyBorder="1" applyAlignment="1">
      <alignment horizontal="right" vertical="center"/>
    </xf>
    <xf numFmtId="0" fontId="37" fillId="0" borderId="0" xfId="0" applyFont="1" applyAlignment="1">
      <alignment vertical="center"/>
    </xf>
    <xf numFmtId="0" fontId="24" fillId="0" borderId="5" xfId="0" quotePrefix="1" applyFont="1" applyBorder="1" applyAlignment="1">
      <alignment horizontal="right" vertical="center"/>
    </xf>
    <xf numFmtId="0" fontId="15" fillId="0" borderId="7" xfId="0" quotePrefix="1" applyFont="1" applyBorder="1" applyAlignment="1">
      <alignment horizontal="right" vertical="center"/>
    </xf>
    <xf numFmtId="0" fontId="15" fillId="0" borderId="26" xfId="0" quotePrefix="1" applyFont="1" applyBorder="1" applyAlignment="1">
      <alignment horizontal="right" vertical="center"/>
    </xf>
    <xf numFmtId="41" fontId="15" fillId="5" borderId="26" xfId="1" applyNumberFormat="1" applyFont="1" applyFill="1" applyBorder="1" applyAlignment="1">
      <alignment horizontal="right" vertical="center"/>
    </xf>
    <xf numFmtId="49" fontId="40" fillId="12" borderId="5" xfId="7" applyFont="1" applyFill="1" applyBorder="1">
      <alignment wrapText="1"/>
    </xf>
    <xf numFmtId="164" fontId="15" fillId="0" borderId="1" xfId="1" applyNumberFormat="1" applyFont="1" applyBorder="1" applyAlignment="1" applyProtection="1">
      <alignment horizontal="right" vertical="center"/>
      <protection locked="0"/>
    </xf>
    <xf numFmtId="165" fontId="15" fillId="5" borderId="1" xfId="2" applyNumberFormat="1" applyFont="1" applyFill="1" applyBorder="1" applyAlignment="1">
      <alignment horizontal="right" vertical="center"/>
    </xf>
    <xf numFmtId="170" fontId="15" fillId="5" borderId="1" xfId="1" applyNumberFormat="1" applyFont="1" applyFill="1" applyBorder="1" applyAlignment="1">
      <alignment horizontal="right" vertical="center"/>
    </xf>
    <xf numFmtId="44" fontId="9" fillId="0" borderId="1" xfId="2" applyFont="1" applyBorder="1" applyAlignment="1">
      <alignment horizontal="right" vertical="center"/>
    </xf>
    <xf numFmtId="0" fontId="15" fillId="0" borderId="19" xfId="0" quotePrefix="1" applyFont="1" applyBorder="1" applyAlignment="1">
      <alignment horizontal="right" vertical="center"/>
    </xf>
    <xf numFmtId="43" fontId="15" fillId="0" borderId="19" xfId="1" applyFont="1" applyBorder="1" applyAlignment="1" applyProtection="1">
      <alignment horizontal="right" vertical="center"/>
      <protection locked="0"/>
    </xf>
    <xf numFmtId="0" fontId="7" fillId="8" borderId="1" xfId="0" applyFont="1" applyFill="1" applyBorder="1" applyAlignment="1" applyProtection="1">
      <alignment horizontal="center" vertical="center"/>
      <protection locked="0"/>
    </xf>
    <xf numFmtId="44" fontId="7" fillId="8" borderId="1" xfId="2" applyFont="1" applyFill="1" applyBorder="1" applyAlignment="1" applyProtection="1">
      <alignment horizontal="center" vertical="center"/>
      <protection locked="0"/>
    </xf>
    <xf numFmtId="0" fontId="38" fillId="0" borderId="0" xfId="3" applyFont="1" applyAlignment="1">
      <alignment horizontal="center" vertical="center" wrapText="1"/>
    </xf>
    <xf numFmtId="0" fontId="9" fillId="0" borderId="0" xfId="0" applyFont="1" applyAlignment="1">
      <alignment horizontal="center" wrapText="1"/>
    </xf>
    <xf numFmtId="0" fontId="9" fillId="0" borderId="1" xfId="0" applyFont="1" applyBorder="1" applyAlignment="1">
      <alignment horizontal="center" vertical="center" wrapText="1"/>
    </xf>
    <xf numFmtId="0" fontId="45" fillId="0" borderId="1" xfId="0" quotePrefix="1" applyFont="1" applyBorder="1" applyAlignment="1">
      <alignment horizontal="right" vertical="center"/>
    </xf>
    <xf numFmtId="0" fontId="43" fillId="0" borderId="1" xfId="0" quotePrefix="1" applyFont="1" applyBorder="1" applyAlignment="1">
      <alignment horizontal="right" vertical="center"/>
    </xf>
    <xf numFmtId="0" fontId="43" fillId="0" borderId="1" xfId="0" applyFont="1" applyBorder="1" applyAlignment="1">
      <alignment horizontal="right" vertical="center"/>
    </xf>
    <xf numFmtId="0" fontId="63" fillId="0" borderId="0" xfId="14" applyFont="1"/>
    <xf numFmtId="0" fontId="64" fillId="0" borderId="0" xfId="14" applyFont="1"/>
    <xf numFmtId="0" fontId="64" fillId="0" borderId="0" xfId="14" applyFont="1" applyAlignment="1">
      <alignment horizontal="center"/>
    </xf>
    <xf numFmtId="0" fontId="62" fillId="0" borderId="0" xfId="14"/>
    <xf numFmtId="0" fontId="65" fillId="0" borderId="0" xfId="14" applyFont="1" applyAlignment="1">
      <alignment horizontal="center"/>
    </xf>
    <xf numFmtId="0" fontId="63" fillId="0" borderId="1" xfId="14" applyFont="1" applyBorder="1"/>
    <xf numFmtId="0" fontId="65" fillId="0" borderId="1" xfId="14" applyFont="1" applyBorder="1"/>
    <xf numFmtId="0" fontId="64" fillId="0" borderId="1" xfId="14" applyFont="1" applyBorder="1"/>
    <xf numFmtId="44" fontId="66" fillId="0" borderId="1" xfId="14" applyNumberFormat="1" applyFont="1" applyBorder="1"/>
    <xf numFmtId="44" fontId="67" fillId="0" borderId="1" xfId="14" applyNumberFormat="1" applyFont="1" applyBorder="1"/>
    <xf numFmtId="0" fontId="65" fillId="0" borderId="1" xfId="14" quotePrefix="1" applyFont="1" applyBorder="1"/>
    <xf numFmtId="0" fontId="63" fillId="0" borderId="1" xfId="14" applyFont="1" applyBorder="1" applyAlignment="1">
      <alignment horizontal="right"/>
    </xf>
    <xf numFmtId="44" fontId="65" fillId="0" borderId="1" xfId="14" applyNumberFormat="1" applyFont="1" applyBorder="1"/>
    <xf numFmtId="44" fontId="64" fillId="0" borderId="1" xfId="14" applyNumberFormat="1" applyFont="1" applyBorder="1"/>
    <xf numFmtId="165" fontId="15" fillId="5" borderId="5" xfId="2" applyNumberFormat="1" applyFont="1" applyFill="1" applyBorder="1" applyAlignment="1">
      <alignment horizontal="right" vertical="center"/>
    </xf>
    <xf numFmtId="165" fontId="7" fillId="5" borderId="1" xfId="2" applyNumberFormat="1" applyFont="1" applyFill="1" applyBorder="1" applyAlignment="1">
      <alignment horizontal="right" vertical="center"/>
    </xf>
    <xf numFmtId="165" fontId="9" fillId="0" borderId="1" xfId="2" applyNumberFormat="1" applyFont="1" applyBorder="1" applyAlignment="1">
      <alignment horizontal="right" vertical="center"/>
    </xf>
    <xf numFmtId="165" fontId="7" fillId="0" borderId="1" xfId="2" applyNumberFormat="1" applyFont="1" applyBorder="1" applyAlignment="1">
      <alignment horizontal="right" vertical="center"/>
    </xf>
    <xf numFmtId="165" fontId="68" fillId="5" borderId="1" xfId="2" applyNumberFormat="1" applyFont="1" applyFill="1" applyBorder="1" applyAlignment="1">
      <alignment horizontal="right" vertical="center"/>
    </xf>
    <xf numFmtId="165" fontId="69" fillId="0" borderId="1" xfId="0" applyNumberFormat="1" applyFont="1" applyBorder="1"/>
    <xf numFmtId="165" fontId="65" fillId="0" borderId="1" xfId="14" applyNumberFormat="1" applyFont="1" applyBorder="1"/>
    <xf numFmtId="165" fontId="66" fillId="0" borderId="1" xfId="14" applyNumberFormat="1" applyFont="1" applyBorder="1"/>
    <xf numFmtId="43" fontId="15" fillId="0" borderId="0" xfId="0" applyNumberFormat="1" applyFont="1"/>
    <xf numFmtId="0" fontId="7" fillId="0" borderId="1" xfId="0" applyFont="1" applyBorder="1" applyAlignment="1">
      <alignment horizontal="center" vertical="center"/>
    </xf>
    <xf numFmtId="165" fontId="7" fillId="0" borderId="1" xfId="2" applyNumberFormat="1" applyFont="1" applyBorder="1" applyAlignment="1">
      <alignment horizontal="center" vertical="center"/>
    </xf>
    <xf numFmtId="43" fontId="15" fillId="6" borderId="1" xfId="1" applyFont="1" applyFill="1" applyBorder="1" applyProtection="1">
      <protection locked="0"/>
    </xf>
    <xf numFmtId="9" fontId="70" fillId="0" borderId="0" xfId="0" applyNumberFormat="1" applyFont="1"/>
    <xf numFmtId="0" fontId="71" fillId="0" borderId="0" xfId="3" applyFont="1" applyAlignment="1">
      <alignment vertical="center"/>
    </xf>
    <xf numFmtId="0" fontId="70" fillId="0" borderId="0" xfId="0" applyFont="1"/>
    <xf numFmtId="0" fontId="37" fillId="0" borderId="0" xfId="0" applyFont="1" applyAlignment="1" applyProtection="1">
      <alignment vertical="center"/>
      <protection locked="0"/>
    </xf>
    <xf numFmtId="44" fontId="15" fillId="6" borderId="1" xfId="2" applyFont="1" applyFill="1" applyBorder="1" applyProtection="1">
      <protection locked="0"/>
    </xf>
    <xf numFmtId="44" fontId="65" fillId="0" borderId="1" xfId="14" applyNumberFormat="1" applyFont="1" applyBorder="1" applyProtection="1">
      <protection locked="0"/>
    </xf>
    <xf numFmtId="44" fontId="66" fillId="0" borderId="1" xfId="14" applyNumberFormat="1" applyFont="1" applyBorder="1" applyProtection="1">
      <protection locked="0"/>
    </xf>
    <xf numFmtId="168" fontId="65" fillId="0" borderId="1" xfId="14" applyNumberFormat="1" applyFont="1" applyBorder="1" applyProtection="1">
      <protection locked="0"/>
    </xf>
    <xf numFmtId="0" fontId="72" fillId="0" borderId="0" xfId="0" applyFont="1" applyAlignment="1">
      <alignment vertical="center"/>
    </xf>
    <xf numFmtId="165" fontId="15" fillId="5" borderId="1" xfId="1" applyNumberFormat="1" applyFont="1" applyFill="1" applyBorder="1" applyAlignment="1">
      <alignment horizontal="right" vertical="center"/>
    </xf>
    <xf numFmtId="9" fontId="73" fillId="0" borderId="28" xfId="5" applyFont="1" applyBorder="1" applyAlignment="1">
      <alignment horizontal="center"/>
    </xf>
    <xf numFmtId="9" fontId="74" fillId="0" borderId="28" xfId="5" applyFont="1" applyBorder="1" applyAlignment="1">
      <alignment horizontal="center"/>
    </xf>
    <xf numFmtId="9" fontId="74" fillId="0" borderId="0" xfId="5" applyFont="1" applyAlignment="1">
      <alignment horizontal="center"/>
    </xf>
    <xf numFmtId="0" fontId="65" fillId="0" borderId="1" xfId="14" applyFont="1" applyBorder="1" applyProtection="1">
      <protection locked="0"/>
    </xf>
    <xf numFmtId="0" fontId="64" fillId="0" borderId="1" xfId="14" applyFont="1" applyBorder="1" applyProtection="1">
      <protection locked="0"/>
    </xf>
    <xf numFmtId="0" fontId="64" fillId="0" borderId="0" xfId="14" applyFont="1" applyProtection="1">
      <protection locked="0"/>
    </xf>
    <xf numFmtId="0" fontId="7" fillId="0" borderId="1" xfId="0" applyFont="1" applyBorder="1" applyAlignment="1">
      <alignment vertical="center"/>
    </xf>
    <xf numFmtId="44" fontId="15" fillId="0" borderId="1" xfId="2" applyFont="1" applyBorder="1"/>
    <xf numFmtId="44" fontId="15" fillId="0" borderId="1" xfId="2" applyFont="1" applyBorder="1" applyAlignment="1">
      <alignment horizontal="center"/>
    </xf>
    <xf numFmtId="44" fontId="76" fillId="8" borderId="1" xfId="2" applyFont="1" applyFill="1" applyBorder="1" applyProtection="1">
      <protection locked="0"/>
    </xf>
    <xf numFmtId="44" fontId="0" fillId="0" borderId="1" xfId="2" applyFont="1" applyBorder="1"/>
    <xf numFmtId="0" fontId="77" fillId="0" borderId="0" xfId="0" applyFont="1"/>
    <xf numFmtId="0" fontId="15" fillId="0" borderId="28" xfId="0" applyFont="1" applyBorder="1"/>
    <xf numFmtId="44" fontId="0" fillId="0" borderId="0" xfId="2" applyFont="1"/>
    <xf numFmtId="0" fontId="76" fillId="8" borderId="31" xfId="0" applyFont="1" applyFill="1" applyBorder="1" applyProtection="1">
      <protection locked="0"/>
    </xf>
    <xf numFmtId="0" fontId="75" fillId="0" borderId="32" xfId="0" applyFont="1" applyBorder="1" applyAlignment="1">
      <alignment horizontal="center" wrapText="1"/>
    </xf>
    <xf numFmtId="0" fontId="75" fillId="0" borderId="33" xfId="0" applyFont="1" applyBorder="1" applyAlignment="1">
      <alignment wrapText="1"/>
    </xf>
    <xf numFmtId="44" fontId="0" fillId="8" borderId="28" xfId="2" applyFont="1" applyFill="1" applyBorder="1" applyProtection="1">
      <protection locked="0"/>
    </xf>
    <xf numFmtId="0" fontId="7" fillId="14" borderId="1" xfId="0" applyFont="1" applyFill="1" applyBorder="1" applyAlignment="1">
      <alignment horizontal="right" vertical="center"/>
    </xf>
    <xf numFmtId="0" fontId="7" fillId="14" borderId="1" xfId="0" applyFont="1" applyFill="1" applyBorder="1" applyAlignment="1">
      <alignment horizontal="center" vertical="center"/>
    </xf>
    <xf numFmtId="0" fontId="75" fillId="0" borderId="37" xfId="0" applyFont="1" applyBorder="1"/>
    <xf numFmtId="0" fontId="0" fillId="0" borderId="38" xfId="0" applyBorder="1"/>
    <xf numFmtId="0" fontId="78" fillId="0" borderId="0" xfId="0" applyFont="1"/>
    <xf numFmtId="0" fontId="79" fillId="0" borderId="0" xfId="0" applyFont="1" applyAlignment="1">
      <alignment horizontal="center"/>
    </xf>
    <xf numFmtId="49" fontId="40" fillId="12" borderId="7" xfId="7" applyFont="1" applyFill="1" applyBorder="1" applyAlignment="1">
      <alignment horizontal="center" wrapText="1"/>
    </xf>
    <xf numFmtId="0" fontId="73" fillId="0" borderId="28" xfId="0" applyFont="1" applyBorder="1" applyAlignment="1">
      <alignment horizontal="center" wrapText="1"/>
    </xf>
    <xf numFmtId="0" fontId="7" fillId="8" borderId="29" xfId="0" applyFont="1" applyFill="1" applyBorder="1" applyAlignment="1" applyProtection="1">
      <alignment horizontal="center" vertical="center"/>
      <protection locked="0"/>
    </xf>
    <xf numFmtId="0" fontId="25" fillId="8" borderId="28" xfId="0" applyFont="1" applyFill="1" applyBorder="1" applyAlignment="1">
      <alignment vertical="center"/>
    </xf>
    <xf numFmtId="0" fontId="7" fillId="15" borderId="29" xfId="0" applyFont="1" applyFill="1" applyBorder="1" applyAlignment="1" applyProtection="1">
      <alignment horizontal="center" vertical="center"/>
      <protection locked="0"/>
    </xf>
    <xf numFmtId="0" fontId="75" fillId="0" borderId="0" xfId="0" applyFont="1" applyAlignment="1">
      <alignment horizontal="center"/>
    </xf>
    <xf numFmtId="0" fontId="75" fillId="0" borderId="1" xfId="0" applyFont="1" applyBorder="1" applyAlignment="1">
      <alignment horizontal="center"/>
    </xf>
    <xf numFmtId="0" fontId="75" fillId="0" borderId="1" xfId="0" applyFont="1" applyBorder="1"/>
    <xf numFmtId="44" fontId="0" fillId="0" borderId="1" xfId="0" applyNumberFormat="1" applyBorder="1"/>
    <xf numFmtId="9" fontId="0" fillId="0" borderId="1" xfId="5" applyFont="1" applyBorder="1" applyAlignment="1">
      <alignment horizontal="center"/>
    </xf>
    <xf numFmtId="44" fontId="53" fillId="0" borderId="1" xfId="5" applyNumberFormat="1" applyFont="1" applyBorder="1"/>
    <xf numFmtId="0" fontId="75" fillId="0" borderId="0" xfId="0" applyFont="1"/>
    <xf numFmtId="0" fontId="0" fillId="8" borderId="29" xfId="0" applyFill="1" applyBorder="1" applyAlignment="1" applyProtection="1">
      <alignment horizontal="center"/>
      <protection locked="0"/>
    </xf>
    <xf numFmtId="0" fontId="75" fillId="0" borderId="39" xfId="0" applyFont="1" applyBorder="1"/>
    <xf numFmtId="0" fontId="80" fillId="0" borderId="0" xfId="0" applyFont="1"/>
    <xf numFmtId="0" fontId="81" fillId="0" borderId="0" xfId="0" applyFont="1" applyAlignment="1">
      <alignment horizontal="left" vertical="center"/>
    </xf>
    <xf numFmtId="44" fontId="26" fillId="8" borderId="1" xfId="2" applyFont="1" applyFill="1" applyBorder="1" applyAlignment="1" applyProtection="1">
      <alignment vertical="center"/>
      <protection locked="0"/>
    </xf>
    <xf numFmtId="0" fontId="9" fillId="8" borderId="0" xfId="0" applyFont="1" applyFill="1" applyAlignment="1" applyProtection="1">
      <alignment vertical="center"/>
      <protection locked="0"/>
    </xf>
    <xf numFmtId="9" fontId="0" fillId="0" borderId="0" xfId="5" applyFont="1"/>
    <xf numFmtId="165" fontId="0" fillId="0" borderId="0" xfId="2" applyNumberFormat="1" applyFont="1"/>
    <xf numFmtId="9" fontId="0" fillId="0" borderId="0" xfId="0" applyNumberFormat="1"/>
    <xf numFmtId="165" fontId="0" fillId="0" borderId="0" xfId="0" applyNumberFormat="1"/>
    <xf numFmtId="0" fontId="0" fillId="0" borderId="0" xfId="0" applyAlignment="1">
      <alignment horizontal="center"/>
    </xf>
    <xf numFmtId="0" fontId="83" fillId="0" borderId="0" xfId="0" applyFont="1"/>
    <xf numFmtId="10" fontId="46" fillId="0" borderId="1" xfId="5" applyNumberFormat="1" applyFont="1" applyFill="1" applyBorder="1"/>
    <xf numFmtId="164" fontId="47" fillId="0" borderId="24" xfId="1" applyNumberFormat="1" applyFont="1" applyFill="1" applyBorder="1" applyAlignment="1">
      <alignment horizontal="center"/>
    </xf>
    <xf numFmtId="43" fontId="46" fillId="0" borderId="3" xfId="1" applyFont="1" applyFill="1" applyBorder="1" applyAlignment="1" applyProtection="1">
      <protection locked="0"/>
    </xf>
    <xf numFmtId="42" fontId="46" fillId="0" borderId="8" xfId="1" applyNumberFormat="1" applyFont="1" applyFill="1" applyBorder="1"/>
    <xf numFmtId="42" fontId="46" fillId="0" borderId="1" xfId="1" applyNumberFormat="1" applyFont="1" applyFill="1" applyBorder="1"/>
    <xf numFmtId="41" fontId="46" fillId="0" borderId="1" xfId="2" applyNumberFormat="1" applyFont="1" applyFill="1" applyBorder="1" applyAlignment="1" applyProtection="1">
      <alignment horizontal="right"/>
      <protection locked="0"/>
    </xf>
    <xf numFmtId="9" fontId="0" fillId="0" borderId="0" xfId="5" applyFont="1" applyAlignment="1">
      <alignment horizontal="center"/>
    </xf>
    <xf numFmtId="9" fontId="79" fillId="0" borderId="0" xfId="5" applyFont="1" applyAlignment="1">
      <alignment horizontal="center"/>
    </xf>
    <xf numFmtId="9" fontId="79" fillId="0" borderId="0" xfId="0" applyNumberFormat="1" applyFont="1" applyAlignment="1">
      <alignment horizontal="center"/>
    </xf>
    <xf numFmtId="171" fontId="62" fillId="0" borderId="0" xfId="14" applyNumberFormat="1"/>
    <xf numFmtId="171" fontId="84" fillId="0" borderId="0" xfId="14" applyNumberFormat="1" applyFont="1"/>
    <xf numFmtId="171" fontId="64" fillId="0" borderId="0" xfId="14" applyNumberFormat="1" applyFont="1"/>
    <xf numFmtId="164" fontId="84" fillId="0" borderId="0" xfId="1" applyNumberFormat="1" applyFont="1"/>
    <xf numFmtId="164" fontId="85" fillId="16" borderId="28" xfId="1" applyNumberFormat="1" applyFont="1" applyFill="1" applyBorder="1" applyProtection="1"/>
    <xf numFmtId="164" fontId="86" fillId="16" borderId="41" xfId="1" applyNumberFormat="1" applyFont="1" applyFill="1" applyBorder="1" applyProtection="1"/>
    <xf numFmtId="164" fontId="86" fillId="16" borderId="42" xfId="1" applyNumberFormat="1" applyFont="1" applyFill="1" applyBorder="1" applyProtection="1"/>
    <xf numFmtId="164" fontId="86" fillId="16" borderId="43" xfId="1" applyNumberFormat="1" applyFont="1" applyFill="1" applyBorder="1" applyProtection="1"/>
    <xf numFmtId="164" fontId="86" fillId="16" borderId="44" xfId="1" applyNumberFormat="1" applyFont="1" applyFill="1" applyBorder="1" applyProtection="1"/>
    <xf numFmtId="164" fontId="86" fillId="16" borderId="45" xfId="1" applyNumberFormat="1" applyFont="1" applyFill="1" applyBorder="1" applyProtection="1"/>
    <xf numFmtId="164" fontId="87" fillId="17" borderId="36" xfId="1" applyNumberFormat="1" applyFont="1" applyFill="1" applyBorder="1" applyProtection="1"/>
    <xf numFmtId="164" fontId="87" fillId="17" borderId="46" xfId="1" applyNumberFormat="1" applyFont="1" applyFill="1" applyBorder="1" applyProtection="1"/>
    <xf numFmtId="164" fontId="87" fillId="17" borderId="47" xfId="1" applyNumberFormat="1" applyFont="1" applyFill="1" applyBorder="1" applyProtection="1"/>
    <xf numFmtId="164" fontId="87" fillId="17" borderId="48" xfId="1" applyNumberFormat="1" applyFont="1" applyFill="1" applyBorder="1" applyProtection="1"/>
    <xf numFmtId="164" fontId="87" fillId="17" borderId="3" xfId="1" applyNumberFormat="1" applyFont="1" applyFill="1" applyBorder="1" applyProtection="1"/>
    <xf numFmtId="164" fontId="87" fillId="17" borderId="49" xfId="1" applyNumberFormat="1" applyFont="1" applyFill="1" applyBorder="1" applyProtection="1"/>
    <xf numFmtId="164" fontId="85" fillId="18" borderId="41" xfId="1" applyNumberFormat="1" applyFont="1" applyFill="1" applyBorder="1" applyProtection="1"/>
    <xf numFmtId="164" fontId="85" fillId="18" borderId="43" xfId="1" applyNumberFormat="1" applyFont="1" applyFill="1" applyBorder="1" applyProtection="1"/>
    <xf numFmtId="164" fontId="85" fillId="18" borderId="42" xfId="1" applyNumberFormat="1" applyFont="1" applyFill="1" applyBorder="1" applyProtection="1"/>
    <xf numFmtId="164" fontId="85" fillId="18" borderId="50" xfId="1" applyNumberFormat="1" applyFont="1" applyFill="1" applyBorder="1" applyProtection="1"/>
    <xf numFmtId="164" fontId="85" fillId="18" borderId="30" xfId="1" applyNumberFormat="1" applyFont="1" applyFill="1" applyBorder="1" applyProtection="1"/>
    <xf numFmtId="164" fontId="85" fillId="18" borderId="31" xfId="1" applyNumberFormat="1" applyFont="1" applyFill="1" applyBorder="1" applyProtection="1"/>
    <xf numFmtId="164" fontId="86" fillId="0" borderId="34" xfId="1" applyNumberFormat="1" applyFont="1" applyFill="1" applyBorder="1" applyProtection="1"/>
    <xf numFmtId="164" fontId="86" fillId="0" borderId="34" xfId="1" applyNumberFormat="1" applyFont="1" applyFill="1" applyBorder="1" applyProtection="1">
      <protection hidden="1"/>
    </xf>
    <xf numFmtId="164" fontId="86" fillId="0" borderId="30" xfId="1" applyNumberFormat="1" applyFont="1" applyFill="1" applyBorder="1" applyProtection="1"/>
    <xf numFmtId="164" fontId="85" fillId="19" borderId="30" xfId="1" applyNumberFormat="1" applyFont="1" applyFill="1" applyBorder="1" applyProtection="1"/>
    <xf numFmtId="164" fontId="86" fillId="19" borderId="30" xfId="1" applyNumberFormat="1" applyFont="1" applyFill="1" applyBorder="1" applyProtection="1"/>
    <xf numFmtId="164" fontId="86" fillId="19" borderId="1" xfId="1" applyNumberFormat="1" applyFont="1" applyFill="1" applyBorder="1" applyProtection="1"/>
    <xf numFmtId="164" fontId="86" fillId="19" borderId="31" xfId="1" applyNumberFormat="1" applyFont="1" applyFill="1" applyBorder="1" applyProtection="1"/>
    <xf numFmtId="164" fontId="85" fillId="19" borderId="31" xfId="1" applyNumberFormat="1" applyFont="1" applyFill="1" applyBorder="1" applyProtection="1"/>
    <xf numFmtId="164" fontId="84" fillId="0" borderId="0" xfId="1" applyNumberFormat="1" applyFont="1" applyFill="1"/>
    <xf numFmtId="164" fontId="86" fillId="0" borderId="50" xfId="1" applyNumberFormat="1" applyFont="1" applyFill="1" applyBorder="1" applyProtection="1"/>
    <xf numFmtId="164" fontId="86" fillId="0" borderId="30" xfId="1" applyNumberFormat="1" applyFont="1" applyBorder="1" applyProtection="1"/>
    <xf numFmtId="164" fontId="85" fillId="19" borderId="41" xfId="1" applyNumberFormat="1" applyFont="1" applyFill="1" applyBorder="1" applyProtection="1"/>
    <xf numFmtId="164" fontId="85" fillId="19" borderId="43" xfId="1" applyNumberFormat="1" applyFont="1" applyFill="1" applyBorder="1" applyProtection="1"/>
    <xf numFmtId="164" fontId="86" fillId="19" borderId="41" xfId="1" applyNumberFormat="1" applyFont="1" applyFill="1" applyBorder="1" applyProtection="1"/>
    <xf numFmtId="164" fontId="86" fillId="19" borderId="42" xfId="1" applyNumberFormat="1" applyFont="1" applyFill="1" applyBorder="1" applyProtection="1"/>
    <xf numFmtId="164" fontId="86" fillId="19" borderId="43" xfId="1" applyNumberFormat="1" applyFont="1" applyFill="1" applyBorder="1" applyProtection="1"/>
    <xf numFmtId="164" fontId="86" fillId="19" borderId="44" xfId="1" applyNumberFormat="1" applyFont="1" applyFill="1" applyBorder="1" applyProtection="1"/>
    <xf numFmtId="171" fontId="62" fillId="16" borderId="52" xfId="14" applyNumberFormat="1" applyFill="1" applyBorder="1"/>
    <xf numFmtId="171" fontId="88" fillId="16" borderId="0" xfId="14" applyNumberFormat="1" applyFont="1" applyFill="1" applyAlignment="1">
      <alignment vertical="center"/>
    </xf>
    <xf numFmtId="171" fontId="89" fillId="16" borderId="3" xfId="14" applyNumberFormat="1" applyFont="1" applyFill="1" applyBorder="1" applyAlignment="1">
      <alignment vertical="center"/>
    </xf>
    <xf numFmtId="171" fontId="85" fillId="18" borderId="40" xfId="14" applyNumberFormat="1" applyFont="1" applyFill="1" applyBorder="1"/>
    <xf numFmtId="164" fontId="86" fillId="17" borderId="1" xfId="1" applyNumberFormat="1" applyFont="1" applyFill="1" applyBorder="1" applyProtection="1">
      <protection locked="0"/>
    </xf>
    <xf numFmtId="164" fontId="86" fillId="0" borderId="34" xfId="1" applyNumberFormat="1" applyFont="1" applyBorder="1" applyProtection="1"/>
    <xf numFmtId="164" fontId="86" fillId="17" borderId="5" xfId="1" applyNumberFormat="1" applyFont="1" applyFill="1" applyBorder="1" applyProtection="1">
      <protection locked="0"/>
    </xf>
    <xf numFmtId="164" fontId="86" fillId="0" borderId="7" xfId="1" applyNumberFormat="1" applyFont="1" applyBorder="1" applyProtection="1"/>
    <xf numFmtId="164" fontId="86" fillId="17" borderId="35" xfId="1" applyNumberFormat="1" applyFont="1" applyFill="1" applyBorder="1" applyProtection="1">
      <protection locked="0"/>
    </xf>
    <xf numFmtId="164" fontId="86" fillId="17" borderId="31" xfId="1" applyNumberFormat="1" applyFont="1" applyFill="1" applyBorder="1" applyProtection="1">
      <protection locked="0"/>
    </xf>
    <xf numFmtId="171" fontId="90" fillId="20" borderId="50" xfId="14" applyNumberFormat="1" applyFont="1" applyFill="1" applyBorder="1" applyAlignment="1">
      <alignment vertical="center"/>
    </xf>
    <xf numFmtId="171" fontId="90" fillId="20" borderId="51" xfId="14" applyNumberFormat="1" applyFont="1" applyFill="1" applyBorder="1" applyAlignment="1">
      <alignment vertical="center"/>
    </xf>
    <xf numFmtId="171" fontId="90" fillId="20" borderId="6" xfId="14" applyNumberFormat="1" applyFont="1" applyFill="1" applyBorder="1" applyAlignment="1">
      <alignment vertical="center"/>
    </xf>
    <xf numFmtId="171" fontId="90" fillId="20" borderId="4" xfId="14" applyNumberFormat="1" applyFont="1" applyFill="1" applyBorder="1" applyAlignment="1">
      <alignment vertical="center"/>
    </xf>
    <xf numFmtId="171" fontId="91" fillId="21" borderId="53" xfId="14" applyNumberFormat="1" applyFont="1" applyFill="1" applyBorder="1" applyAlignment="1">
      <alignment horizontal="centerContinuous"/>
    </xf>
    <xf numFmtId="171" fontId="91" fillId="22" borderId="41" xfId="14" applyNumberFormat="1" applyFont="1" applyFill="1" applyBorder="1" applyAlignment="1">
      <alignment horizontal="centerContinuous"/>
    </xf>
    <xf numFmtId="171" fontId="91" fillId="21" borderId="45" xfId="14" applyNumberFormat="1" applyFont="1" applyFill="1" applyBorder="1" applyAlignment="1">
      <alignment horizontal="centerContinuous"/>
    </xf>
    <xf numFmtId="171" fontId="62" fillId="0" borderId="0" xfId="14" applyNumberFormat="1" applyProtection="1">
      <protection locked="0"/>
    </xf>
    <xf numFmtId="171" fontId="91" fillId="23" borderId="5" xfId="14" applyNumberFormat="1" applyFont="1" applyFill="1" applyBorder="1" applyAlignment="1" applyProtection="1">
      <alignment horizontal="center"/>
      <protection locked="0"/>
    </xf>
    <xf numFmtId="171" fontId="91" fillId="22" borderId="5" xfId="14" applyNumberFormat="1" applyFont="1" applyFill="1" applyBorder="1" applyAlignment="1" applyProtection="1">
      <alignment horizontal="center"/>
      <protection locked="0"/>
    </xf>
    <xf numFmtId="171" fontId="91" fillId="21" borderId="54" xfId="14" applyNumberFormat="1" applyFont="1" applyFill="1" applyBorder="1" applyAlignment="1" applyProtection="1">
      <alignment horizontal="center"/>
      <protection locked="0"/>
    </xf>
    <xf numFmtId="171" fontId="92" fillId="21" borderId="0" xfId="14" applyNumberFormat="1" applyFont="1" applyFill="1" applyAlignment="1" applyProtection="1">
      <alignment horizontal="centerContinuous"/>
      <protection locked="0"/>
    </xf>
    <xf numFmtId="171" fontId="92" fillId="21" borderId="53" xfId="14" applyNumberFormat="1" applyFont="1" applyFill="1" applyBorder="1" applyAlignment="1" applyProtection="1">
      <alignment horizontal="center" vertical="center"/>
      <protection locked="0"/>
    </xf>
    <xf numFmtId="171" fontId="92" fillId="21" borderId="53" xfId="14" applyNumberFormat="1" applyFont="1" applyFill="1" applyBorder="1" applyAlignment="1" applyProtection="1">
      <alignment horizontal="centerContinuous"/>
      <protection locked="0"/>
    </xf>
    <xf numFmtId="171" fontId="92" fillId="21" borderId="55" xfId="14" applyNumberFormat="1" applyFont="1" applyFill="1" applyBorder="1" applyAlignment="1" applyProtection="1">
      <alignment horizontal="center"/>
      <protection locked="0"/>
    </xf>
    <xf numFmtId="171" fontId="92" fillId="21" borderId="55" xfId="14" applyNumberFormat="1" applyFont="1" applyFill="1" applyBorder="1" applyAlignment="1" applyProtection="1">
      <alignment horizontal="centerContinuous"/>
      <protection locked="0"/>
    </xf>
    <xf numFmtId="171" fontId="63" fillId="0" borderId="53" xfId="14" applyNumberFormat="1" applyFont="1" applyBorder="1" applyAlignment="1" applyProtection="1">
      <alignment horizontal="centerContinuous"/>
      <protection locked="0"/>
    </xf>
    <xf numFmtId="171" fontId="63" fillId="0" borderId="0" xfId="14" applyNumberFormat="1" applyFont="1" applyAlignment="1" applyProtection="1">
      <alignment horizontal="center" vertical="center"/>
      <protection locked="0"/>
    </xf>
    <xf numFmtId="171" fontId="63" fillId="0" borderId="55" xfId="14" applyNumberFormat="1" applyFont="1" applyBorder="1" applyAlignment="1" applyProtection="1">
      <alignment horizontal="centerContinuous"/>
      <protection locked="0"/>
    </xf>
    <xf numFmtId="171" fontId="63" fillId="0" borderId="56" xfId="14" applyNumberFormat="1" applyFont="1" applyBorder="1" applyAlignment="1" applyProtection="1">
      <alignment horizontal="centerContinuous"/>
      <protection locked="0"/>
    </xf>
    <xf numFmtId="171" fontId="92" fillId="21" borderId="56" xfId="14" applyNumberFormat="1" applyFont="1" applyFill="1" applyBorder="1" applyAlignment="1" applyProtection="1">
      <alignment horizontal="centerContinuous"/>
      <protection locked="0"/>
    </xf>
    <xf numFmtId="171" fontId="63" fillId="0" borderId="56" xfId="14" applyNumberFormat="1" applyFont="1" applyBorder="1" applyAlignment="1" applyProtection="1">
      <alignment horizontal="center"/>
      <protection locked="0"/>
    </xf>
    <xf numFmtId="171" fontId="92" fillId="21" borderId="56" xfId="14" applyNumberFormat="1" applyFont="1" applyFill="1" applyBorder="1" applyAlignment="1" applyProtection="1">
      <alignment horizontal="center"/>
      <protection locked="0"/>
    </xf>
    <xf numFmtId="171" fontId="93" fillId="0" borderId="7" xfId="14" applyNumberFormat="1" applyFont="1" applyBorder="1" applyProtection="1">
      <protection locked="0"/>
    </xf>
    <xf numFmtId="171" fontId="95" fillId="0" borderId="26" xfId="14" applyNumberFormat="1" applyFont="1" applyBorder="1"/>
    <xf numFmtId="171" fontId="96" fillId="0" borderId="26" xfId="14" applyNumberFormat="1" applyFont="1" applyBorder="1" applyAlignment="1">
      <alignment horizontal="center"/>
    </xf>
    <xf numFmtId="171" fontId="62" fillId="23" borderId="0" xfId="14" applyNumberFormat="1" applyFill="1"/>
    <xf numFmtId="164" fontId="86" fillId="0" borderId="31" xfId="1" applyNumberFormat="1" applyFont="1" applyFill="1" applyBorder="1" applyProtection="1">
      <protection locked="0"/>
    </xf>
    <xf numFmtId="164" fontId="86" fillId="0" borderId="1" xfId="1" applyNumberFormat="1" applyFont="1" applyFill="1" applyBorder="1" applyProtection="1">
      <protection locked="0"/>
    </xf>
    <xf numFmtId="171" fontId="98" fillId="17" borderId="2" xfId="14" applyNumberFormat="1" applyFont="1" applyFill="1" applyBorder="1" applyProtection="1">
      <protection locked="0"/>
    </xf>
    <xf numFmtId="171" fontId="98" fillId="17" borderId="7" xfId="14" applyNumberFormat="1" applyFont="1" applyFill="1" applyBorder="1" applyProtection="1">
      <protection locked="0"/>
    </xf>
    <xf numFmtId="171" fontId="99" fillId="19" borderId="28" xfId="14" applyNumberFormat="1" applyFont="1" applyFill="1" applyBorder="1"/>
    <xf numFmtId="171" fontId="99" fillId="19" borderId="2" xfId="14" applyNumberFormat="1" applyFont="1" applyFill="1" applyBorder="1"/>
    <xf numFmtId="171" fontId="100" fillId="0" borderId="2" xfId="14" applyNumberFormat="1" applyFont="1" applyBorder="1" applyProtection="1">
      <protection locked="0" hidden="1"/>
    </xf>
    <xf numFmtId="171" fontId="101" fillId="19" borderId="2" xfId="14" applyNumberFormat="1" applyFont="1" applyFill="1" applyBorder="1"/>
    <xf numFmtId="171" fontId="99" fillId="18" borderId="43" xfId="14" applyNumberFormat="1" applyFont="1" applyFill="1" applyBorder="1"/>
    <xf numFmtId="171" fontId="102" fillId="17" borderId="3" xfId="14" applyNumberFormat="1" applyFont="1" applyFill="1" applyBorder="1"/>
    <xf numFmtId="171" fontId="99" fillId="16" borderId="40" xfId="14" applyNumberFormat="1" applyFont="1" applyFill="1" applyBorder="1"/>
    <xf numFmtId="164" fontId="85" fillId="18" borderId="57" xfId="1" applyNumberFormat="1" applyFont="1" applyFill="1" applyBorder="1" applyProtection="1"/>
    <xf numFmtId="164" fontId="86" fillId="8" borderId="31" xfId="1" applyNumberFormat="1" applyFont="1" applyFill="1" applyBorder="1" applyProtection="1">
      <protection locked="0"/>
    </xf>
    <xf numFmtId="164" fontId="86" fillId="8" borderId="51" xfId="1" applyNumberFormat="1" applyFont="1" applyFill="1" applyBorder="1" applyProtection="1">
      <protection locked="0"/>
    </xf>
    <xf numFmtId="164" fontId="86" fillId="8" borderId="6" xfId="1" applyNumberFormat="1" applyFont="1" applyFill="1" applyBorder="1" applyProtection="1">
      <protection locked="0"/>
    </xf>
    <xf numFmtId="171" fontId="98" fillId="8" borderId="2" xfId="14" applyNumberFormat="1" applyFont="1" applyFill="1" applyBorder="1" applyProtection="1">
      <protection locked="0"/>
    </xf>
    <xf numFmtId="171" fontId="98" fillId="8" borderId="7" xfId="14" applyNumberFormat="1" applyFont="1" applyFill="1" applyBorder="1" applyProtection="1">
      <protection locked="0"/>
    </xf>
    <xf numFmtId="0" fontId="65" fillId="8" borderId="1" xfId="14" applyFont="1" applyFill="1" applyBorder="1" applyProtection="1">
      <protection locked="0"/>
    </xf>
    <xf numFmtId="165" fontId="65" fillId="8" borderId="1" xfId="14" applyNumberFormat="1" applyFont="1" applyFill="1" applyBorder="1" applyProtection="1">
      <protection locked="0"/>
    </xf>
    <xf numFmtId="44" fontId="65" fillId="8" borderId="1" xfId="14" applyNumberFormat="1" applyFont="1" applyFill="1" applyBorder="1" applyProtection="1">
      <protection locked="0"/>
    </xf>
    <xf numFmtId="44" fontId="66" fillId="8" borderId="1" xfId="14" applyNumberFormat="1" applyFont="1" applyFill="1" applyBorder="1" applyProtection="1">
      <protection locked="0"/>
    </xf>
    <xf numFmtId="0" fontId="104" fillId="0" borderId="0" xfId="14" applyFont="1"/>
    <xf numFmtId="9" fontId="65" fillId="8" borderId="1" xfId="5" applyFont="1" applyFill="1" applyBorder="1" applyProtection="1">
      <protection locked="0"/>
    </xf>
    <xf numFmtId="0" fontId="26" fillId="0" borderId="58" xfId="0" applyFont="1" applyBorder="1"/>
    <xf numFmtId="0" fontId="0" fillId="0" borderId="58" xfId="0" applyBorder="1"/>
    <xf numFmtId="0" fontId="26" fillId="0" borderId="60" xfId="0" applyFont="1" applyBorder="1"/>
    <xf numFmtId="0" fontId="0" fillId="0" borderId="60" xfId="0" applyBorder="1"/>
    <xf numFmtId="0" fontId="0" fillId="0" borderId="1" xfId="0" applyBorder="1"/>
    <xf numFmtId="164" fontId="0" fillId="0" borderId="1" xfId="1" applyNumberFormat="1" applyFont="1" applyBorder="1"/>
    <xf numFmtId="0" fontId="0" fillId="0" borderId="31" xfId="0" applyBorder="1"/>
    <xf numFmtId="0" fontId="26" fillId="0" borderId="38" xfId="0" applyFont="1" applyBorder="1"/>
    <xf numFmtId="0" fontId="0" fillId="0" borderId="61" xfId="0" applyBorder="1"/>
    <xf numFmtId="0" fontId="0" fillId="0" borderId="62" xfId="0" applyBorder="1"/>
    <xf numFmtId="44" fontId="0" fillId="0" borderId="62" xfId="2" applyFont="1" applyBorder="1"/>
    <xf numFmtId="0" fontId="0" fillId="0" borderId="63" xfId="0" applyBorder="1"/>
    <xf numFmtId="164" fontId="0" fillId="0" borderId="62" xfId="0" applyNumberFormat="1" applyBorder="1"/>
    <xf numFmtId="8" fontId="26" fillId="0" borderId="0" xfId="0" applyNumberFormat="1" applyFont="1"/>
    <xf numFmtId="0" fontId="0" fillId="0" borderId="59" xfId="0" applyBorder="1"/>
    <xf numFmtId="0" fontId="0" fillId="0" borderId="33" xfId="0" applyBorder="1"/>
    <xf numFmtId="0" fontId="0" fillId="0" borderId="32" xfId="0" applyBorder="1"/>
    <xf numFmtId="0" fontId="0" fillId="0" borderId="64" xfId="0" applyBorder="1"/>
    <xf numFmtId="171" fontId="105" fillId="0" borderId="40" xfId="14" applyNumberFormat="1" applyFont="1" applyBorder="1"/>
    <xf numFmtId="171" fontId="106" fillId="0" borderId="43" xfId="14" applyNumberFormat="1" applyFont="1" applyBorder="1" applyAlignment="1">
      <alignment horizontal="center"/>
    </xf>
    <xf numFmtId="171" fontId="106" fillId="0" borderId="42" xfId="14" applyNumberFormat="1" applyFont="1" applyBorder="1" applyAlignment="1">
      <alignment horizontal="center"/>
    </xf>
    <xf numFmtId="171" fontId="107" fillId="0" borderId="41" xfId="14" quotePrefix="1" applyNumberFormat="1" applyFont="1" applyBorder="1" applyAlignment="1">
      <alignment horizontal="center"/>
    </xf>
    <xf numFmtId="171" fontId="107" fillId="0" borderId="43" xfId="14" applyNumberFormat="1" applyFont="1" applyBorder="1" applyAlignment="1">
      <alignment horizontal="center"/>
    </xf>
    <xf numFmtId="171" fontId="107" fillId="0" borderId="42" xfId="14" applyNumberFormat="1" applyFont="1" applyBorder="1" applyAlignment="1">
      <alignment horizontal="center"/>
    </xf>
    <xf numFmtId="171" fontId="108" fillId="0" borderId="0" xfId="14" applyNumberFormat="1" applyFont="1"/>
    <xf numFmtId="6" fontId="0" fillId="0" borderId="1" xfId="0" applyNumberFormat="1" applyBorder="1"/>
    <xf numFmtId="165" fontId="15" fillId="5" borderId="1" xfId="2" applyNumberFormat="1" applyFont="1" applyFill="1" applyBorder="1" applyAlignment="1" applyProtection="1">
      <alignment horizontal="right" vertical="center"/>
      <protection locked="0"/>
    </xf>
    <xf numFmtId="164" fontId="15" fillId="6" borderId="1" xfId="1" applyNumberFormat="1" applyFont="1" applyFill="1" applyBorder="1" applyProtection="1">
      <protection locked="0"/>
    </xf>
    <xf numFmtId="0" fontId="14" fillId="0" borderId="0" xfId="0" applyFont="1" applyAlignment="1">
      <alignment horizontal="left" vertical="center"/>
    </xf>
    <xf numFmtId="49" fontId="47" fillId="12" borderId="16" xfId="7" applyFont="1" applyFill="1" applyBorder="1">
      <alignment wrapText="1"/>
    </xf>
    <xf numFmtId="0" fontId="46" fillId="0" borderId="10" xfId="0" applyFont="1" applyBorder="1" applyAlignment="1" applyProtection="1">
      <alignment horizontal="center"/>
      <protection locked="0"/>
    </xf>
    <xf numFmtId="0" fontId="46" fillId="0" borderId="8" xfId="0" applyFont="1" applyBorder="1" applyAlignment="1" applyProtection="1">
      <alignment horizontal="center"/>
      <protection locked="0"/>
    </xf>
    <xf numFmtId="0" fontId="46" fillId="0" borderId="11" xfId="0" applyFont="1" applyBorder="1" applyAlignment="1" applyProtection="1">
      <alignment horizontal="center"/>
      <protection locked="0"/>
    </xf>
    <xf numFmtId="49" fontId="47" fillId="12" borderId="16" xfId="7" applyFont="1" applyFill="1" applyBorder="1" applyAlignment="1">
      <alignment horizontal="center" wrapText="1"/>
    </xf>
    <xf numFmtId="0" fontId="46" fillId="0" borderId="4" xfId="0" applyFont="1" applyBorder="1" applyAlignment="1" applyProtection="1">
      <alignment horizontal="center"/>
      <protection locked="0"/>
    </xf>
    <xf numFmtId="0" fontId="46" fillId="0" borderId="17" xfId="0" applyFont="1" applyBorder="1" applyAlignment="1" applyProtection="1">
      <alignment horizontal="center"/>
      <protection locked="0"/>
    </xf>
    <xf numFmtId="0" fontId="46" fillId="0" borderId="2" xfId="0" applyFont="1" applyBorder="1" applyAlignment="1" applyProtection="1">
      <alignment horizontal="center"/>
      <protection locked="0"/>
    </xf>
    <xf numFmtId="0" fontId="46" fillId="0" borderId="9" xfId="0" applyFont="1" applyBorder="1" applyAlignment="1" applyProtection="1">
      <alignment horizontal="center"/>
      <protection locked="0"/>
    </xf>
    <xf numFmtId="43" fontId="46" fillId="0" borderId="2" xfId="1" applyFont="1" applyBorder="1" applyAlignment="1" applyProtection="1">
      <alignment horizontal="center"/>
      <protection locked="0"/>
    </xf>
    <xf numFmtId="43" fontId="46" fillId="0" borderId="9" xfId="1" applyFont="1" applyBorder="1" applyAlignment="1" applyProtection="1">
      <alignment horizontal="center"/>
      <protection locked="0"/>
    </xf>
    <xf numFmtId="0" fontId="47" fillId="0" borderId="21" xfId="0" applyFont="1" applyBorder="1" applyAlignment="1" applyProtection="1">
      <alignment horizontal="center"/>
      <protection locked="0"/>
    </xf>
    <xf numFmtId="0" fontId="47" fillId="0" borderId="22" xfId="0" applyFont="1" applyBorder="1" applyAlignment="1" applyProtection="1">
      <alignment horizontal="center"/>
      <protection locked="0"/>
    </xf>
    <xf numFmtId="0" fontId="47" fillId="0" borderId="23" xfId="0" applyFont="1" applyBorder="1" applyAlignment="1" applyProtection="1">
      <alignment horizontal="center"/>
      <protection locked="0"/>
    </xf>
    <xf numFmtId="43" fontId="46" fillId="0" borderId="10" xfId="1" applyFont="1" applyBorder="1" applyAlignment="1" applyProtection="1">
      <alignment horizontal="center"/>
      <protection locked="0"/>
    </xf>
    <xf numFmtId="0" fontId="43" fillId="0" borderId="2" xfId="0" applyFont="1" applyBorder="1" applyAlignment="1">
      <alignment horizontal="center"/>
    </xf>
    <xf numFmtId="0" fontId="43" fillId="0" borderId="8" xfId="0" applyFont="1" applyBorder="1" applyAlignment="1">
      <alignment horizontal="center"/>
    </xf>
    <xf numFmtId="0" fontId="43" fillId="0" borderId="9" xfId="0" applyFont="1" applyBorder="1" applyAlignment="1">
      <alignment horizontal="center"/>
    </xf>
    <xf numFmtId="0" fontId="46" fillId="0" borderId="18" xfId="0" applyFont="1" applyBorder="1" applyAlignment="1" applyProtection="1">
      <alignment horizontal="center"/>
      <protection locked="0"/>
    </xf>
    <xf numFmtId="0" fontId="46" fillId="0" borderId="19" xfId="0" applyFont="1" applyBorder="1" applyAlignment="1" applyProtection="1">
      <alignment horizontal="center"/>
      <protection locked="0"/>
    </xf>
    <xf numFmtId="0" fontId="46" fillId="0" borderId="20" xfId="0" applyFont="1" applyBorder="1" applyAlignment="1" applyProtection="1">
      <alignment horizontal="center"/>
      <protection locked="0"/>
    </xf>
    <xf numFmtId="0" fontId="47" fillId="0" borderId="2" xfId="0" applyFont="1" applyBorder="1" applyAlignment="1">
      <alignment horizontal="center"/>
    </xf>
    <xf numFmtId="0" fontId="47" fillId="0" borderId="9" xfId="0" applyFont="1" applyBorder="1" applyAlignment="1">
      <alignment horizontal="center"/>
    </xf>
    <xf numFmtId="0" fontId="50" fillId="7" borderId="0" xfId="3" applyFont="1" applyFill="1" applyAlignment="1">
      <alignment horizontal="center" vertical="center" wrapText="1"/>
    </xf>
    <xf numFmtId="0" fontId="43" fillId="0" borderId="0" xfId="0" applyFont="1" applyAlignment="1">
      <alignment horizontal="left" vertical="center"/>
    </xf>
    <xf numFmtId="0" fontId="46" fillId="0" borderId="12" xfId="0" applyFont="1" applyBorder="1" applyAlignment="1" applyProtection="1">
      <alignment horizontal="center"/>
      <protection locked="0"/>
    </xf>
    <xf numFmtId="0" fontId="46" fillId="0" borderId="13" xfId="0" applyFont="1" applyBorder="1" applyAlignment="1" applyProtection="1">
      <alignment horizontal="center"/>
      <protection locked="0"/>
    </xf>
    <xf numFmtId="0" fontId="46" fillId="0" borderId="14" xfId="0" applyFont="1" applyBorder="1" applyAlignment="1" applyProtection="1">
      <alignment horizontal="center"/>
      <protection locked="0"/>
    </xf>
    <xf numFmtId="49" fontId="40" fillId="12" borderId="16" xfId="7" applyFont="1" applyFill="1" applyBorder="1">
      <alignment wrapText="1"/>
    </xf>
    <xf numFmtId="0" fontId="7" fillId="0" borderId="4" xfId="0" applyFont="1" applyBorder="1" applyAlignment="1">
      <alignment horizontal="left"/>
    </xf>
    <xf numFmtId="0" fontId="7" fillId="0" borderId="17" xfId="0" applyFont="1" applyBorder="1" applyAlignment="1">
      <alignment horizontal="left"/>
    </xf>
    <xf numFmtId="0" fontId="7" fillId="0" borderId="2" xfId="0" applyFont="1" applyBorder="1" applyAlignment="1">
      <alignment horizontal="left"/>
    </xf>
    <xf numFmtId="0" fontId="7" fillId="0" borderId="9" xfId="0" applyFont="1" applyBorder="1" applyAlignment="1">
      <alignment horizontal="left"/>
    </xf>
    <xf numFmtId="0" fontId="9" fillId="0" borderId="0" xfId="0" applyFont="1" applyAlignment="1">
      <alignment vertical="center"/>
    </xf>
    <xf numFmtId="0" fontId="7" fillId="0" borderId="0" xfId="0" applyFont="1" applyAlignment="1">
      <alignment vertical="center"/>
    </xf>
    <xf numFmtId="43" fontId="46" fillId="0" borderId="2" xfId="1" applyFont="1" applyFill="1" applyBorder="1" applyAlignment="1" applyProtection="1">
      <alignment horizontal="center"/>
      <protection locked="0"/>
    </xf>
    <xf numFmtId="43" fontId="46" fillId="0" borderId="9" xfId="1" applyFont="1" applyFill="1" applyBorder="1" applyAlignment="1" applyProtection="1">
      <alignment horizontal="center"/>
      <protection locked="0"/>
    </xf>
    <xf numFmtId="43" fontId="46" fillId="0" borderId="10" xfId="1" applyFont="1" applyFill="1" applyBorder="1" applyAlignment="1" applyProtection="1">
      <alignment horizontal="center"/>
      <protection locked="0"/>
    </xf>
    <xf numFmtId="0" fontId="27" fillId="0" borderId="0" xfId="0" applyFont="1" applyAlignment="1">
      <alignment horizontal="center" vertical="center"/>
    </xf>
    <xf numFmtId="0" fontId="60" fillId="0" borderId="0" xfId="0" applyFont="1" applyAlignment="1">
      <alignment horizontal="left" vertical="center"/>
    </xf>
    <xf numFmtId="0" fontId="9" fillId="0" borderId="0" xfId="0" applyFont="1" applyAlignment="1">
      <alignment horizontal="left" vertical="center"/>
    </xf>
    <xf numFmtId="0" fontId="40" fillId="0" borderId="16" xfId="0" applyFont="1" applyBorder="1" applyAlignment="1">
      <alignment horizontal="left"/>
    </xf>
    <xf numFmtId="0" fontId="40" fillId="0" borderId="5" xfId="0" applyFont="1" applyBorder="1" applyAlignment="1">
      <alignment horizontal="left"/>
    </xf>
    <xf numFmtId="0" fontId="40" fillId="0" borderId="3" xfId="0" applyFont="1" applyBorder="1" applyAlignment="1">
      <alignment horizontal="left"/>
    </xf>
    <xf numFmtId="0" fontId="24" fillId="0" borderId="0" xfId="0" applyFont="1" applyAlignment="1">
      <alignment horizontal="left" vertical="center"/>
    </xf>
    <xf numFmtId="0" fontId="7" fillId="0" borderId="0" xfId="0" applyFont="1" applyAlignment="1">
      <alignment horizontal="left"/>
    </xf>
    <xf numFmtId="0" fontId="9" fillId="0" borderId="0" xfId="0" quotePrefix="1" applyFont="1" applyAlignment="1">
      <alignment horizontal="left"/>
    </xf>
    <xf numFmtId="0" fontId="9" fillId="0" borderId="0" xfId="0" applyFont="1" applyAlignment="1">
      <alignment horizontal="left"/>
    </xf>
    <xf numFmtId="0" fontId="34" fillId="0" borderId="0" xfId="3" applyFont="1" applyAlignment="1">
      <alignment horizontal="center" vertical="center"/>
    </xf>
    <xf numFmtId="0" fontId="9" fillId="0" borderId="1" xfId="0" applyFont="1" applyBorder="1" applyAlignment="1">
      <alignment horizontal="center" vertical="center"/>
    </xf>
    <xf numFmtId="0" fontId="7" fillId="0" borderId="0" xfId="0" applyFont="1" applyAlignment="1">
      <alignment horizontal="left" vertical="center"/>
    </xf>
    <xf numFmtId="0" fontId="34" fillId="7" borderId="0" xfId="3" applyFont="1" applyFill="1" applyAlignment="1">
      <alignment horizontal="center" vertical="center"/>
    </xf>
    <xf numFmtId="49" fontId="40" fillId="12" borderId="21" xfId="7" applyFont="1" applyFill="1" applyBorder="1">
      <alignment wrapText="1"/>
    </xf>
    <xf numFmtId="49" fontId="40" fillId="12" borderId="27" xfId="7" applyFont="1" applyFill="1" applyBorder="1">
      <alignment wrapText="1"/>
    </xf>
    <xf numFmtId="0" fontId="28" fillId="7" borderId="0" xfId="3" applyFont="1" applyFill="1" applyAlignment="1">
      <alignment horizontal="center" vertical="center"/>
    </xf>
    <xf numFmtId="0" fontId="63" fillId="0" borderId="1" xfId="14" applyFont="1" applyBorder="1"/>
    <xf numFmtId="0" fontId="62" fillId="0" borderId="1" xfId="14" applyBorder="1"/>
    <xf numFmtId="171" fontId="97" fillId="21" borderId="4" xfId="14" applyNumberFormat="1" applyFont="1" applyFill="1" applyBorder="1" applyAlignment="1" applyProtection="1">
      <alignment horizontal="center"/>
      <protection locked="0"/>
    </xf>
    <xf numFmtId="171" fontId="97" fillId="21" borderId="19" xfId="14" applyNumberFormat="1" applyFont="1" applyFill="1" applyBorder="1" applyAlignment="1" applyProtection="1">
      <alignment horizontal="center"/>
      <protection locked="0"/>
    </xf>
  </cellXfs>
  <cellStyles count="15">
    <cellStyle name="Calculation" xfId="9" builtinId="22" customBuiltin="1"/>
    <cellStyle name="Comma" xfId="1" builtinId="3"/>
    <cellStyle name="Comma 2" xfId="10" xr:uid="{00000000-0005-0000-0000-000002000000}"/>
    <cellStyle name="Currency" xfId="2" builtinId="4"/>
    <cellStyle name="Currency 2" xfId="11" xr:uid="{00000000-0005-0000-0000-000004000000}"/>
    <cellStyle name="Followed Hyperlink" xfId="13" builtinId="9" hidden="1"/>
    <cellStyle name="Heading 1" xfId="7" builtinId="16" customBuiltin="1"/>
    <cellStyle name="Hyperlink" xfId="3" builtinId="8"/>
    <cellStyle name="Input" xfId="8" builtinId="20" customBuiltin="1"/>
    <cellStyle name="Normal" xfId="0" builtinId="0"/>
    <cellStyle name="Normal 2" xfId="4" xr:uid="{00000000-0005-0000-0000-00000A000000}"/>
    <cellStyle name="Normal 3" xfId="14" xr:uid="{00000000-0005-0000-0000-00000B000000}"/>
    <cellStyle name="Percent" xfId="5" builtinId="5"/>
    <cellStyle name="Percent 2" xfId="12" xr:uid="{00000000-0005-0000-0000-00000D000000}"/>
    <cellStyle name="Title 2" xfId="6" xr:uid="{00000000-0005-0000-0000-00000E000000}"/>
  </cellStyles>
  <dxfs count="123">
    <dxf>
      <font>
        <color theme="0"/>
      </font>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F0000"/>
        </patternFill>
      </fill>
    </dxf>
    <dxf>
      <font>
        <color theme="0" tint="-0.24994659260841701"/>
      </font>
    </dxf>
    <dxf>
      <font>
        <color theme="0" tint="-0.24994659260841701"/>
      </font>
    </dxf>
    <dxf>
      <font>
        <color theme="0" tint="-0.34998626667073579"/>
      </font>
    </dxf>
    <dxf>
      <fill>
        <patternFill patternType="none">
          <bgColor indexed="65"/>
        </patternFill>
      </fill>
    </dxf>
    <dxf>
      <fill>
        <patternFill>
          <bgColor rgb="FFFFD200"/>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ill>
        <patternFill>
          <bgColor rgb="FFFFE043"/>
        </patternFill>
      </fill>
    </dxf>
    <dxf>
      <font>
        <color theme="0" tint="-0.24994659260841701"/>
      </font>
    </dxf>
    <dxf>
      <fill>
        <patternFill>
          <bgColor rgb="FFFFE043"/>
        </patternFill>
      </fill>
    </dxf>
    <dxf>
      <font>
        <color theme="4" tint="0.59996337778862885"/>
        <name val="Cambria"/>
        <scheme val="none"/>
      </font>
    </dxf>
    <dxf>
      <font>
        <color theme="4" tint="0.59996337778862885"/>
        <name val="Cambria"/>
        <scheme val="none"/>
      </font>
    </dxf>
    <dxf>
      <font>
        <color theme="4" tint="0.59996337778862885"/>
        <name val="Cambria"/>
        <scheme val="none"/>
      </font>
    </dxf>
    <dxf>
      <fill>
        <patternFill>
          <bgColor rgb="FFFFD200"/>
        </patternFill>
      </fill>
    </dxf>
    <dxf>
      <fill>
        <patternFill>
          <bgColor rgb="FFF89E53"/>
        </patternFill>
      </fill>
    </dxf>
    <dxf>
      <fill>
        <patternFill>
          <bgColor rgb="FFF89E53"/>
        </patternFill>
      </fill>
    </dxf>
    <dxf>
      <font>
        <color theme="4" tint="0.59996337778862885"/>
        <name val="Cambria"/>
        <scheme val="none"/>
      </font>
    </dxf>
    <dxf>
      <font>
        <color theme="4" tint="0.59996337778862885"/>
        <name val="Cambria"/>
        <scheme val="none"/>
      </font>
    </dxf>
    <dxf>
      <font>
        <color theme="4" tint="0.59996337778862885"/>
        <name val="Cambria"/>
        <scheme val="none"/>
      </font>
    </dxf>
    <dxf>
      <font>
        <color theme="0" tint="-0.14996795556505021"/>
        <name val="Cambria"/>
        <scheme val="none"/>
      </font>
    </dxf>
    <dxf>
      <font>
        <color theme="4" tint="0.59996337778862885"/>
        <name val="Cambria"/>
        <scheme val="none"/>
      </font>
    </dxf>
    <dxf>
      <font>
        <color theme="4" tint="0.59996337778862885"/>
        <name val="Cambria"/>
        <scheme val="none"/>
      </font>
    </dxf>
    <dxf>
      <fill>
        <patternFill>
          <bgColor rgb="FFFFD200"/>
        </patternFill>
      </fill>
    </dxf>
    <dxf>
      <fill>
        <patternFill>
          <bgColor rgb="FFF89E53"/>
        </patternFill>
      </fill>
    </dxf>
    <dxf>
      <fill>
        <patternFill>
          <bgColor rgb="FFF89E53"/>
        </patternFill>
      </fill>
    </dxf>
    <dxf>
      <font>
        <color theme="4" tint="0.59996337778862885"/>
        <name val="Cambria"/>
        <scheme val="none"/>
      </font>
    </dxf>
    <dxf>
      <font>
        <color theme="4" tint="0.59996337778862885"/>
        <name val="Cambria"/>
        <scheme val="none"/>
      </font>
    </dxf>
    <dxf>
      <font>
        <color theme="0" tint="-0.14996795556505021"/>
        <name val="Cambria"/>
        <scheme val="none"/>
      </font>
    </dxf>
    <dxf>
      <font>
        <color theme="4" tint="0.59996337778862885"/>
        <name val="Cambria"/>
        <scheme val="none"/>
      </font>
    </dxf>
    <dxf>
      <fill>
        <patternFill>
          <bgColor rgb="FFFFD200"/>
        </patternFill>
      </fill>
    </dxf>
    <dxf>
      <fill>
        <patternFill>
          <bgColor rgb="FFF89E53"/>
        </patternFill>
      </fill>
    </dxf>
    <dxf>
      <fill>
        <patternFill>
          <bgColor rgb="FFF89E53"/>
        </patternFill>
      </fill>
    </dxf>
    <dxf>
      <fill>
        <patternFill>
          <bgColor rgb="FFFFE04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89E53"/>
        </patternFill>
      </fill>
    </dxf>
    <dxf>
      <fill>
        <patternFill>
          <bgColor rgb="FFF89E53"/>
        </patternFill>
      </fill>
    </dxf>
    <dxf>
      <fill>
        <patternFill>
          <bgColor rgb="FFF89E53"/>
        </patternFill>
      </fill>
    </dxf>
    <dxf>
      <font>
        <color rgb="FFFFC95B"/>
      </font>
      <fill>
        <patternFill>
          <bgColor rgb="FFF89E53"/>
        </patternFill>
      </fill>
    </dxf>
    <dxf>
      <font>
        <color rgb="FFFFC95B"/>
      </font>
      <fill>
        <patternFill>
          <bgColor rgb="FFF89E53"/>
        </patternFill>
      </fill>
    </dxf>
    <dxf>
      <font>
        <color rgb="FFFFC95B"/>
      </font>
      <fill>
        <patternFill>
          <bgColor rgb="FFF89E53"/>
        </patternFill>
      </fill>
    </dxf>
    <dxf>
      <font>
        <color rgb="FFFFC95B"/>
      </font>
      <fill>
        <patternFill>
          <bgColor rgb="FFF89E53"/>
        </patternFill>
      </fill>
    </dxf>
    <dxf>
      <font>
        <color rgb="FFFFC95B"/>
      </font>
      <fill>
        <patternFill>
          <bgColor rgb="FFF89E53"/>
        </patternFill>
      </fill>
    </dxf>
    <dxf>
      <font>
        <color rgb="FFFFC95B"/>
      </font>
      <fill>
        <patternFill>
          <bgColor rgb="FFF89E53"/>
        </patternFill>
      </fill>
    </dxf>
    <dxf>
      <font>
        <color rgb="FFFFC95B"/>
      </font>
      <fill>
        <patternFill>
          <bgColor rgb="FFF89E53"/>
        </patternFill>
      </fill>
    </dxf>
    <dxf>
      <font>
        <color rgb="FFFFC95B"/>
      </font>
      <fill>
        <patternFill>
          <bgColor rgb="FFF89E53"/>
        </patternFill>
      </fill>
    </dxf>
    <dxf>
      <font>
        <color rgb="FFFFC95B"/>
      </font>
      <fill>
        <patternFill>
          <bgColor rgb="FFF89E53"/>
        </patternFill>
      </fill>
    </dxf>
    <dxf>
      <font>
        <color rgb="FFFFC95B"/>
      </font>
      <fill>
        <patternFill>
          <bgColor rgb="FFF89E53"/>
        </patternFill>
      </fill>
    </dxf>
    <dxf>
      <font>
        <color rgb="FFFFC95B"/>
      </font>
      <fill>
        <patternFill>
          <bgColor rgb="FFF89E53"/>
        </patternFill>
      </fill>
    </dxf>
    <dxf>
      <fill>
        <patternFill>
          <bgColor rgb="FFF89E53"/>
        </patternFill>
      </fill>
    </dxf>
    <dxf>
      <fill>
        <patternFill>
          <bgColor rgb="FFF89E53"/>
        </patternFill>
      </fill>
    </dxf>
    <dxf>
      <fill>
        <patternFill>
          <bgColor rgb="FFF89E53"/>
        </patternFill>
      </fill>
    </dxf>
    <dxf>
      <fill>
        <patternFill>
          <bgColor rgb="FFF89E53"/>
        </patternFill>
      </fill>
    </dxf>
    <dxf>
      <font>
        <color rgb="FF6A9F42"/>
      </font>
    </dxf>
    <dxf>
      <font>
        <color rgb="FFFF0000"/>
      </font>
    </dxf>
    <dxf>
      <font>
        <color rgb="FFFF0000"/>
      </font>
    </dxf>
    <dxf>
      <fill>
        <patternFill>
          <bgColor rgb="FFF89E53"/>
        </patternFill>
      </fill>
    </dxf>
    <dxf>
      <fill>
        <patternFill>
          <bgColor rgb="FFF89E53"/>
        </patternFill>
      </fill>
    </dxf>
    <dxf>
      <numFmt numFmtId="30" formatCode="@"/>
      <fill>
        <patternFill>
          <bgColor rgb="FFFF0000"/>
        </patternFill>
      </fill>
    </dxf>
    <dxf>
      <fill>
        <patternFill>
          <bgColor rgb="FFF89E53"/>
        </patternFill>
      </fill>
    </dxf>
    <dxf>
      <fill>
        <patternFill>
          <bgColor rgb="FFF89E53"/>
        </patternFill>
      </fill>
    </dxf>
    <dxf>
      <fill>
        <patternFill>
          <bgColor rgb="FFFFD200"/>
        </patternFill>
      </fill>
    </dxf>
    <dxf>
      <fill>
        <patternFill>
          <bgColor rgb="FFFFD200"/>
        </patternFill>
      </fill>
    </dxf>
    <dxf>
      <fill>
        <patternFill>
          <bgColor rgb="FFF89E53"/>
        </patternFill>
      </fill>
    </dxf>
    <dxf>
      <fill>
        <patternFill>
          <bgColor rgb="FFF89E53"/>
        </patternFill>
      </fill>
    </dxf>
    <dxf>
      <font>
        <color rgb="FF6A9F42"/>
      </font>
    </dxf>
    <dxf>
      <font>
        <color rgb="FFFF0000"/>
      </font>
    </dxf>
    <dxf>
      <font>
        <color rgb="FFFF0000"/>
      </font>
    </dxf>
    <dxf>
      <fill>
        <patternFill>
          <bgColor rgb="FFF89E53"/>
        </patternFill>
      </fill>
    </dxf>
    <dxf>
      <fill>
        <patternFill>
          <bgColor rgb="FFF89E53"/>
        </patternFill>
      </fill>
    </dxf>
    <dxf>
      <numFmt numFmtId="30" formatCode="@"/>
      <fill>
        <patternFill>
          <bgColor rgb="FFFF0000"/>
        </patternFill>
      </fill>
    </dxf>
    <dxf>
      <fill>
        <patternFill>
          <bgColor rgb="FFF89E53"/>
        </patternFill>
      </fill>
    </dxf>
    <dxf>
      <fill>
        <patternFill>
          <bgColor rgb="FFF89E53"/>
        </patternFill>
      </fill>
    </dxf>
    <dxf>
      <fill>
        <patternFill>
          <bgColor rgb="FFF89E53"/>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95B"/>
      <color rgb="FFF89E53"/>
      <color rgb="FF8ACC9E"/>
      <color rgb="FF339966"/>
      <color rgb="FF44C8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NULL"/><Relationship Id="rId1" Type="http://schemas.openxmlformats.org/officeDocument/2006/relationships/hyperlink" Target="http://www.score.org/node/787247" TargetMode="Externa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30480</xdr:colOff>
      <xdr:row>8</xdr:row>
      <xdr:rowOff>140970</xdr:rowOff>
    </xdr:from>
    <xdr:to>
      <xdr:col>4</xdr:col>
      <xdr:colOff>400050</xdr:colOff>
      <xdr:row>33</xdr:row>
      <xdr:rowOff>47626</xdr:rowOff>
    </xdr:to>
    <xdr:sp macro="" textlink="">
      <xdr:nvSpPr>
        <xdr:cNvPr id="80897" name="TextBox 2">
          <a:extLst>
            <a:ext uri="{FF2B5EF4-FFF2-40B4-BE49-F238E27FC236}">
              <a16:creationId xmlns:a16="http://schemas.microsoft.com/office/drawing/2014/main" id="{00000000-0008-0000-0000-0000013C0100}"/>
            </a:ext>
          </a:extLst>
        </xdr:cNvPr>
        <xdr:cNvSpPr txBox="1">
          <a:spLocks noChangeArrowheads="1"/>
        </xdr:cNvSpPr>
      </xdr:nvSpPr>
      <xdr:spPr bwMode="auto">
        <a:xfrm>
          <a:off x="392430" y="1988820"/>
          <a:ext cx="4531995" cy="5621656"/>
        </a:xfrm>
        <a:prstGeom prst="rect">
          <a:avLst/>
        </a:prstGeom>
        <a:noFill/>
        <a:ln w="57150">
          <a:solidFill>
            <a:srgbClr val="44C8F5"/>
          </a:solidFill>
          <a:headEnd/>
          <a:tailEnd/>
        </a:ln>
        <a:effectLst/>
      </xdr:spPr>
      <xdr:style>
        <a:lnRef idx="2">
          <a:schemeClr val="accent5">
            <a:shade val="50000"/>
          </a:schemeClr>
        </a:lnRef>
        <a:fillRef idx="1">
          <a:schemeClr val="accent5"/>
        </a:fillRef>
        <a:effectRef idx="0">
          <a:schemeClr val="accent5"/>
        </a:effectRef>
        <a:fontRef idx="minor">
          <a:schemeClr val="lt1"/>
        </a:fontRef>
      </xdr:style>
      <xdr:txBody>
        <a:bodyPr vertOverflow="clip" wrap="square" lIns="91440" tIns="91440" rIns="0" bIns="0" anchor="t" upright="1"/>
        <a:lstStyle/>
        <a:p>
          <a:pPr algn="l" rtl="0">
            <a:defRPr sz="1000"/>
          </a:pPr>
          <a:endParaRPr lang="en-US" sz="1100" b="0" i="0" u="none" strike="noStrike" baseline="0">
            <a:solidFill>
              <a:sysClr val="windowText" lastClr="000000"/>
            </a:solidFill>
            <a:latin typeface="Calibri"/>
          </a:endParaRPr>
        </a:p>
        <a:p>
          <a:pPr algn="l" rtl="0">
            <a:defRPr sz="1000"/>
          </a:pPr>
          <a:r>
            <a:rPr lang="en-US" sz="1100" b="0" i="0" u="none" strike="noStrike" baseline="0">
              <a:solidFill>
                <a:sysClr val="windowText" lastClr="000000"/>
              </a:solidFill>
              <a:latin typeface="Gill Sans MT" pitchFamily="34" charset="0"/>
            </a:rPr>
            <a:t>This Microsoft Excel Workbook is designed to provide those starting a business or already running a business with information that will allow them to make a "go /no-go" decision. It will help a potential entrepreneur project operating profit, develop a projected income statement, balance sheet and  cash flow forecast.</a:t>
          </a:r>
        </a:p>
        <a:p>
          <a:pPr algn="l" rtl="0">
            <a:defRPr sz="1000"/>
          </a:pPr>
          <a:r>
            <a:rPr lang="en-US" sz="1100" b="0" i="0" u="none" strike="noStrike" baseline="0">
              <a:solidFill>
                <a:sysClr val="windowText" lastClr="000000"/>
              </a:solidFill>
              <a:latin typeface="Gill Sans MT" pitchFamily="34" charset="0"/>
            </a:rPr>
            <a:t> </a:t>
          </a:r>
        </a:p>
        <a:p>
          <a:pPr algn="l" rtl="0">
            <a:defRPr sz="1000"/>
          </a:pPr>
          <a:r>
            <a:rPr lang="en-US" sz="1100" b="0" i="0" u="none" strike="noStrike" baseline="0">
              <a:solidFill>
                <a:sysClr val="windowText" lastClr="000000"/>
              </a:solidFill>
              <a:latin typeface="Gill Sans MT" pitchFamily="34" charset="0"/>
            </a:rPr>
            <a:t>It is designed for a wide variety of users, from those who have little or no accounting or Excel experience to those who may be well versed in finance, accounting and the use of Microsoft Excel.</a:t>
          </a:r>
        </a:p>
        <a:p>
          <a:pPr algn="l" rtl="0">
            <a:defRPr sz="1000"/>
          </a:pPr>
          <a:endParaRPr lang="en-US" sz="1100" b="0" i="0" u="none" strike="noStrike" baseline="0">
            <a:solidFill>
              <a:sysClr val="windowText" lastClr="000000"/>
            </a:solidFill>
            <a:latin typeface="Gill Sans MT" pitchFamily="34" charset="0"/>
          </a:endParaRPr>
        </a:p>
        <a:p>
          <a:pPr algn="l" rtl="0">
            <a:defRPr sz="1000"/>
          </a:pPr>
          <a:r>
            <a:rPr lang="en-US" sz="1100" b="0" i="0" u="none" strike="noStrike" baseline="0">
              <a:solidFill>
                <a:sysClr val="windowText" lastClr="000000"/>
              </a:solidFill>
              <a:latin typeface="Gill Sans MT" pitchFamily="34" charset="0"/>
            </a:rPr>
            <a:t>The workbook contains a number of worksheets, each documented two ways. Extensive directions and guidance for a particular page or on a specific accounting topic are found in blue boxes (like this one) on pages that are not self-explanatory.</a:t>
          </a:r>
        </a:p>
        <a:p>
          <a:pPr algn="l" rtl="0">
            <a:defRPr sz="1000"/>
          </a:pPr>
          <a:endParaRPr lang="en-US" sz="1100" b="0" i="0" u="none" strike="noStrike" baseline="0">
            <a:solidFill>
              <a:sysClr val="windowText" lastClr="000000"/>
            </a:solidFill>
            <a:latin typeface="Gill Sans MT" pitchFamily="34" charset="0"/>
          </a:endParaRPr>
        </a:p>
        <a:p>
          <a:pPr algn="l" rtl="0">
            <a:defRPr sz="1000"/>
          </a:pPr>
          <a:r>
            <a:rPr lang="en-US" sz="1100" b="0" i="0" u="none" strike="noStrike" baseline="0">
              <a:solidFill>
                <a:sysClr val="windowText" lastClr="000000"/>
              </a:solidFill>
              <a:latin typeface="Gill Sans MT" pitchFamily="34" charset="0"/>
            </a:rPr>
            <a:t>The second way this workbook is documented is using Excel comments in a given cell. Comments are normally hidden from sight. If you see a red triangle in the upper right corner of a cell, you can hover your mouse over the triangle to see the note. As your mouse moves away from the triangle, the comment will disappear. </a:t>
          </a:r>
        </a:p>
        <a:p>
          <a:pPr algn="l" rtl="0">
            <a:defRPr sz="1000"/>
          </a:pPr>
          <a:endParaRPr lang="en-US" sz="1100" b="0" i="0" u="none" strike="noStrike" baseline="0">
            <a:solidFill>
              <a:sysClr val="windowText" lastClr="000000"/>
            </a:solidFill>
            <a:latin typeface="Gill Sans MT" pitchFamily="34" charset="0"/>
          </a:endParaRPr>
        </a:p>
        <a:p>
          <a:pPr algn="l" rtl="0">
            <a:defRPr sz="1000"/>
          </a:pPr>
          <a:r>
            <a:rPr lang="en-US" sz="1100" b="0" i="0" u="none" strike="noStrike" baseline="0">
              <a:solidFill>
                <a:sysClr val="windowText" lastClr="000000"/>
              </a:solidFill>
              <a:latin typeface="Gill Sans MT" pitchFamily="34" charset="0"/>
            </a:rPr>
            <a:t>Comments will have a beige background. Each comment may have a specific direction for that cell, may be a reminder of something the author believes important, or may have some additional information about the accounting topic. The cells and formulas in this workbook are protected. Cells with yellow  or light blue backgrounds are designed for user input. All other cells are designed to generate data based on user input. </a:t>
          </a:r>
        </a:p>
        <a:p>
          <a:pPr algn="l" rtl="0">
            <a:defRPr sz="1000"/>
          </a:pPr>
          <a:endParaRPr lang="en-US" sz="1100" b="0" i="0" u="none" strike="noStrike" baseline="0">
            <a:solidFill>
              <a:sysClr val="windowText" lastClr="000000"/>
            </a:solidFill>
            <a:latin typeface="Gill Sans MT" pitchFamily="34" charset="0"/>
          </a:endParaRPr>
        </a:p>
        <a:p>
          <a:pPr algn="l" rtl="0">
            <a:defRPr sz="1000"/>
          </a:pPr>
          <a:r>
            <a:rPr lang="en-US" sz="1100" b="0" i="0" u="none" strike="noStrike" baseline="0">
              <a:solidFill>
                <a:sysClr val="windowText" lastClr="000000"/>
              </a:solidFill>
              <a:latin typeface="Gill Sans MT" pitchFamily="34" charset="0"/>
            </a:rPr>
            <a:t>The cells with formulas in this workbook are locked. If changes are needed, the unlock code is "1234." Please use caution when unlocking the spreadsheets. If you want to change a formula, we strongly recommend that you save a copy of this spreadsheet under a different name before doing so. </a:t>
          </a:r>
        </a:p>
      </xdr:txBody>
    </xdr:sp>
    <xdr:clientData fLocksWithSheet="0"/>
  </xdr:twoCellAnchor>
  <xdr:twoCellAnchor>
    <xdr:from>
      <xdr:col>4</xdr:col>
      <xdr:colOff>725804</xdr:colOff>
      <xdr:row>8</xdr:row>
      <xdr:rowOff>133350</xdr:rowOff>
    </xdr:from>
    <xdr:to>
      <xdr:col>7</xdr:col>
      <xdr:colOff>466724</xdr:colOff>
      <xdr:row>16</xdr:row>
      <xdr:rowOff>72391</xdr:rowOff>
    </xdr:to>
    <xdr:grpSp>
      <xdr:nvGrpSpPr>
        <xdr:cNvPr id="3" name="Group 2">
          <a:extLst>
            <a:ext uri="{FF2B5EF4-FFF2-40B4-BE49-F238E27FC236}">
              <a16:creationId xmlns:a16="http://schemas.microsoft.com/office/drawing/2014/main" id="{00000000-0008-0000-0000-000003000000}"/>
            </a:ext>
          </a:extLst>
        </xdr:cNvPr>
        <xdr:cNvGrpSpPr/>
      </xdr:nvGrpSpPr>
      <xdr:grpSpPr>
        <a:xfrm>
          <a:off x="5755004" y="1695450"/>
          <a:ext cx="2915920" cy="1463041"/>
          <a:chOff x="1525904" y="5981700"/>
          <a:chExt cx="2598420" cy="1767841"/>
        </a:xfrm>
      </xdr:grpSpPr>
      <xdr:grpSp>
        <xdr:nvGrpSpPr>
          <xdr:cNvPr id="80898" name="Group 5">
            <a:extLst>
              <a:ext uri="{FF2B5EF4-FFF2-40B4-BE49-F238E27FC236}">
                <a16:creationId xmlns:a16="http://schemas.microsoft.com/office/drawing/2014/main" id="{00000000-0008-0000-0000-0000023C0100}"/>
              </a:ext>
            </a:extLst>
          </xdr:cNvPr>
          <xdr:cNvGrpSpPr>
            <a:grpSpLocks/>
          </xdr:cNvGrpSpPr>
        </xdr:nvGrpSpPr>
        <xdr:grpSpPr bwMode="auto">
          <a:xfrm>
            <a:off x="1525904" y="5981700"/>
            <a:ext cx="2598420" cy="1767841"/>
            <a:chOff x="623672" y="7862889"/>
            <a:chExt cx="2633446" cy="1854360"/>
          </a:xfrm>
        </xdr:grpSpPr>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623672" y="7862889"/>
              <a:ext cx="2633446" cy="18543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latin typeface="Gill Sans MT" pitchFamily="34" charset="0"/>
                </a:rPr>
                <a:t>Color-Coding:</a:t>
              </a:r>
            </a:p>
            <a:p>
              <a:endParaRPr lang="en-US" sz="1100"/>
            </a:p>
            <a:p>
              <a:r>
                <a:rPr lang="en-US" sz="1100"/>
                <a:t>                     </a:t>
              </a:r>
            </a:p>
          </xdr:txBody>
        </xdr:sp>
        <xdr:sp macro="" textlink="">
          <xdr:nvSpPr>
            <xdr:cNvPr id="10" name="Rectangle 9">
              <a:extLst>
                <a:ext uri="{FF2B5EF4-FFF2-40B4-BE49-F238E27FC236}">
                  <a16:creationId xmlns:a16="http://schemas.microsoft.com/office/drawing/2014/main" id="{00000000-0008-0000-0000-00000A000000}"/>
                </a:ext>
              </a:extLst>
            </xdr:cNvPr>
            <xdr:cNvSpPr/>
          </xdr:nvSpPr>
          <xdr:spPr>
            <a:xfrm>
              <a:off x="747711" y="8419328"/>
              <a:ext cx="2385368" cy="252401"/>
            </a:xfrm>
            <a:prstGeom prst="rect">
              <a:avLst/>
            </a:prstGeom>
            <a:solidFill>
              <a:srgbClr val="F89E53"/>
            </a:solidFill>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pPr algn="ctr"/>
              <a:r>
                <a:rPr lang="en-US" sz="1100" b="1">
                  <a:solidFill>
                    <a:sysClr val="windowText" lastClr="000000"/>
                  </a:solidFill>
                  <a:latin typeface="Gill Sans MT" pitchFamily="34" charset="0"/>
                </a:rPr>
                <a:t>Enter Data Here</a:t>
              </a:r>
            </a:p>
          </xdr:txBody>
        </xdr:sp>
      </xdr:grpSp>
      <xdr:sp macro="" textlink="">
        <xdr:nvSpPr>
          <xdr:cNvPr id="9" name="Rectangle 8">
            <a:extLst>
              <a:ext uri="{FF2B5EF4-FFF2-40B4-BE49-F238E27FC236}">
                <a16:creationId xmlns:a16="http://schemas.microsoft.com/office/drawing/2014/main" id="{00000000-0008-0000-0000-000009000000}"/>
              </a:ext>
            </a:extLst>
          </xdr:cNvPr>
          <xdr:cNvSpPr/>
        </xdr:nvSpPr>
        <xdr:spPr bwMode="auto">
          <a:xfrm>
            <a:off x="1642109" y="7122794"/>
            <a:ext cx="2353821" cy="240625"/>
          </a:xfrm>
          <a:prstGeom prst="rect">
            <a:avLst/>
          </a:prstGeom>
          <a:solidFill>
            <a:srgbClr val="FFC95B"/>
          </a:solidFill>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ctr"/>
            <a:r>
              <a:rPr lang="en-US" sz="1100" b="1">
                <a:solidFill>
                  <a:sysClr val="windowText" lastClr="000000"/>
                </a:solidFill>
                <a:latin typeface="Gill Sans MT" pitchFamily="34" charset="0"/>
              </a:rPr>
              <a:t>Adjust as Needed</a:t>
            </a:r>
          </a:p>
        </xdr:txBody>
      </xdr:sp>
    </xdr:grpSp>
    <xdr:clientData/>
  </xdr:twoCellAnchor>
  <xdr:twoCellAnchor>
    <xdr:from>
      <xdr:col>4</xdr:col>
      <xdr:colOff>725803</xdr:colOff>
      <xdr:row>17</xdr:row>
      <xdr:rowOff>28575</xdr:rowOff>
    </xdr:from>
    <xdr:to>
      <xdr:col>7</xdr:col>
      <xdr:colOff>449580</xdr:colOff>
      <xdr:row>24</xdr:row>
      <xdr:rowOff>196216</xdr:rowOff>
    </xdr:to>
    <xdr:sp macro="" textlink="">
      <xdr:nvSpPr>
        <xdr:cNvPr id="8" name="TextBox 7">
          <a:hlinkClick xmlns:r="http://schemas.openxmlformats.org/officeDocument/2006/relationships" r:id="rId1"/>
          <a:extLst>
            <a:ext uri="{FF2B5EF4-FFF2-40B4-BE49-F238E27FC236}">
              <a16:creationId xmlns:a16="http://schemas.microsoft.com/office/drawing/2014/main" id="{00000000-0008-0000-0000-000008000000}"/>
            </a:ext>
          </a:extLst>
        </xdr:cNvPr>
        <xdr:cNvSpPr txBox="1"/>
      </xdr:nvSpPr>
      <xdr:spPr bwMode="auto">
        <a:xfrm>
          <a:off x="5250178" y="3933825"/>
          <a:ext cx="2581277" cy="17678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latin typeface="Gill Sans MT" pitchFamily="34" charset="0"/>
            </a:rPr>
            <a:t>Want</a:t>
          </a:r>
          <a:r>
            <a:rPr lang="en-US" sz="2000" baseline="0">
              <a:latin typeface="Gill Sans MT" pitchFamily="34" charset="0"/>
            </a:rPr>
            <a:t> a guide? Visit our website:</a:t>
          </a:r>
        </a:p>
        <a:p>
          <a:endParaRPr lang="en-US" sz="2000" baseline="0">
            <a:latin typeface="Gill Sans MT" pitchFamily="34" charset="0"/>
          </a:endParaRPr>
        </a:p>
        <a:p>
          <a:r>
            <a:rPr lang="en-US" sz="1500" u="sng">
              <a:solidFill>
                <a:schemeClr val="bg2"/>
              </a:solidFill>
              <a:latin typeface="Gill Sans MT" pitchFamily="34" charset="0"/>
            </a:rPr>
            <a:t>score.org/startyourbusiness</a:t>
          </a:r>
        </a:p>
        <a:p>
          <a:endParaRPr lang="en-US" sz="1100"/>
        </a:p>
        <a:p>
          <a:r>
            <a:rPr lang="en-US" sz="1100"/>
            <a:t>                     </a:t>
          </a:r>
        </a:p>
      </xdr:txBody>
    </xdr:sp>
    <xdr:clientData/>
  </xdr:twoCellAnchor>
  <xdr:twoCellAnchor>
    <xdr:from>
      <xdr:col>4</xdr:col>
      <xdr:colOff>714375</xdr:colOff>
      <xdr:row>25</xdr:row>
      <xdr:rowOff>123825</xdr:rowOff>
    </xdr:from>
    <xdr:to>
      <xdr:col>7</xdr:col>
      <xdr:colOff>438152</xdr:colOff>
      <xdr:row>33</xdr:row>
      <xdr:rowOff>62866</xdr:rowOff>
    </xdr:to>
    <xdr:grpSp>
      <xdr:nvGrpSpPr>
        <xdr:cNvPr id="7" name="Group 6">
          <a:extLst>
            <a:ext uri="{FF2B5EF4-FFF2-40B4-BE49-F238E27FC236}">
              <a16:creationId xmlns:a16="http://schemas.microsoft.com/office/drawing/2014/main" id="{00000000-0008-0000-0000-000007000000}"/>
            </a:ext>
          </a:extLst>
        </xdr:cNvPr>
        <xdr:cNvGrpSpPr/>
      </xdr:nvGrpSpPr>
      <xdr:grpSpPr>
        <a:xfrm>
          <a:off x="5743575" y="4924425"/>
          <a:ext cx="2898777" cy="1463041"/>
          <a:chOff x="5238750" y="6172200"/>
          <a:chExt cx="2581277" cy="1767841"/>
        </a:xfrm>
      </xdr:grpSpPr>
      <xdr:sp macro="" textlink="">
        <xdr:nvSpPr>
          <xdr:cNvPr id="11" name="TextBox 10">
            <a:extLst>
              <a:ext uri="{FF2B5EF4-FFF2-40B4-BE49-F238E27FC236}">
                <a16:creationId xmlns:a16="http://schemas.microsoft.com/office/drawing/2014/main" id="{00000000-0008-0000-0000-00000B000000}"/>
              </a:ext>
            </a:extLst>
          </xdr:cNvPr>
          <xdr:cNvSpPr txBox="1"/>
        </xdr:nvSpPr>
        <xdr:spPr bwMode="auto">
          <a:xfrm>
            <a:off x="5238750" y="6172200"/>
            <a:ext cx="2581277" cy="17678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a:latin typeface="Gill Sans MT" pitchFamily="34" charset="0"/>
              </a:rPr>
              <a:t>Need to make the numbers bigger? </a:t>
            </a:r>
            <a:r>
              <a:rPr lang="en-US" sz="1100">
                <a:latin typeface="Gill Sans MT" pitchFamily="34" charset="0"/>
              </a:rPr>
              <a:t>Increase the magnification. This will either be located in the lower right-hand corner, or in</a:t>
            </a:r>
            <a:r>
              <a:rPr lang="en-US" sz="1100" baseline="0">
                <a:latin typeface="Gill Sans MT" pitchFamily="34" charset="0"/>
              </a:rPr>
              <a:t> the Functions bar at the top of the page. </a:t>
            </a:r>
            <a:r>
              <a:rPr lang="en-US" sz="1100" b="0" baseline="0">
                <a:latin typeface="Gill Sans MT" pitchFamily="34" charset="0"/>
              </a:rPr>
              <a:t> </a:t>
            </a:r>
          </a:p>
          <a:p>
            <a:endParaRPr lang="en-US" sz="2000" baseline="0">
              <a:latin typeface="Gill Sans MT" pitchFamily="34" charset="0"/>
            </a:endParaRPr>
          </a:p>
          <a:p>
            <a:endParaRPr lang="en-US" sz="1100"/>
          </a:p>
          <a:p>
            <a:r>
              <a:rPr lang="en-US" sz="1100"/>
              <a:t>                     </a:t>
            </a:r>
          </a:p>
        </xdr:txBody>
      </xdr:sp>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305425" y="7467600"/>
            <a:ext cx="2463038" cy="396526"/>
          </a:xfrm>
          <a:prstGeom prst="rect">
            <a:avLst/>
          </a:prstGeom>
        </xdr:spPr>
      </xdr:pic>
      <xdr:sp macro="" textlink="">
        <xdr:nvSpPr>
          <xdr:cNvPr id="5" name="Right Arrow 4">
            <a:extLst>
              <a:ext uri="{FF2B5EF4-FFF2-40B4-BE49-F238E27FC236}">
                <a16:creationId xmlns:a16="http://schemas.microsoft.com/office/drawing/2014/main" id="{00000000-0008-0000-0000-000005000000}"/>
              </a:ext>
            </a:extLst>
          </xdr:cNvPr>
          <xdr:cNvSpPr/>
        </xdr:nvSpPr>
        <xdr:spPr>
          <a:xfrm rot="1302033">
            <a:off x="6798473" y="7377669"/>
            <a:ext cx="837847" cy="374576"/>
          </a:xfrm>
          <a:prstGeom prst="rightArrow">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10.xml><?xml version="1.0" encoding="utf-8"?>
<xdr:wsDr xmlns:xdr="http://schemas.openxmlformats.org/drawingml/2006/spreadsheetDrawing" xmlns:a="http://schemas.openxmlformats.org/drawingml/2006/main">
  <xdr:oneCellAnchor>
    <xdr:from>
      <xdr:col>5</xdr:col>
      <xdr:colOff>32365</xdr:colOff>
      <xdr:row>6</xdr:row>
      <xdr:rowOff>25399</xdr:rowOff>
    </xdr:from>
    <xdr:ext cx="3409336" cy="1435101"/>
    <xdr:sp macro="" textlink="">
      <xdr:nvSpPr>
        <xdr:cNvPr id="2" name="TextBox 1">
          <a:extLst>
            <a:ext uri="{FF2B5EF4-FFF2-40B4-BE49-F238E27FC236}">
              <a16:creationId xmlns:a16="http://schemas.microsoft.com/office/drawing/2014/main" id="{00000000-0008-0000-1000-000002000000}"/>
            </a:ext>
          </a:extLst>
        </xdr:cNvPr>
        <xdr:cNvSpPr txBox="1">
          <a:spLocks noChangeAspect="1"/>
        </xdr:cNvSpPr>
      </xdr:nvSpPr>
      <xdr:spPr>
        <a:xfrm>
          <a:off x="8922365" y="1092199"/>
          <a:ext cx="3409336" cy="1435101"/>
        </a:xfrm>
        <a:prstGeom prst="rect">
          <a:avLst/>
        </a:prstGeom>
        <a:noFill/>
        <a:ln w="57150" cmpd="sng">
          <a:solidFill>
            <a:srgbClr val="44C8F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r>
            <a:rPr lang="en-US" sz="900" b="0" i="0" u="none" strike="noStrike">
              <a:solidFill>
                <a:sysClr val="windowText" lastClr="000000"/>
              </a:solidFill>
              <a:effectLst/>
              <a:latin typeface="Gill Sans MT" pitchFamily="34" charset="0"/>
              <a:ea typeface="+mn-ea"/>
              <a:cs typeface="+mn-cs"/>
            </a:rPr>
            <a:t>This sheet performs a few tests on your numbers to see if they seem within certain reasonable ranges.</a:t>
          </a:r>
          <a:r>
            <a:rPr lang="en-US" sz="900" b="0">
              <a:solidFill>
                <a:sysClr val="windowText" lastClr="000000"/>
              </a:solidFill>
              <a:latin typeface="Gill Sans MT" pitchFamily="34" charset="0"/>
            </a:rPr>
            <a:t> </a:t>
          </a:r>
          <a:r>
            <a:rPr lang="en-US" sz="900" b="0" i="0" u="none" strike="noStrike">
              <a:solidFill>
                <a:sysClr val="windowText" lastClr="000000"/>
              </a:solidFill>
              <a:effectLst/>
              <a:latin typeface="Gill Sans MT" pitchFamily="34" charset="0"/>
              <a:ea typeface="+mn-ea"/>
              <a:cs typeface="+mn-cs"/>
            </a:rPr>
            <a:t>Remember, no computer can tell whether your projections are truly well-constructed, only a human can do that.</a:t>
          </a:r>
          <a:r>
            <a:rPr lang="en-US" sz="900" b="0">
              <a:solidFill>
                <a:sysClr val="windowText" lastClr="000000"/>
              </a:solidFill>
              <a:latin typeface="Gill Sans MT" pitchFamily="34" charset="0"/>
            </a:rPr>
            <a:t> </a:t>
          </a:r>
          <a:r>
            <a:rPr lang="en-US" sz="900" b="0" i="0" u="none" strike="noStrike">
              <a:solidFill>
                <a:sysClr val="windowText" lastClr="000000"/>
              </a:solidFill>
              <a:effectLst/>
              <a:latin typeface="Gill Sans MT" pitchFamily="34" charset="0"/>
              <a:ea typeface="+mn-ea"/>
              <a:cs typeface="+mn-cs"/>
            </a:rPr>
            <a:t>But these tests can at least look for values that are critically out of range.</a:t>
          </a:r>
          <a:r>
            <a:rPr lang="en-US" sz="900" b="0">
              <a:solidFill>
                <a:sysClr val="windowText" lastClr="000000"/>
              </a:solidFill>
              <a:latin typeface="Gill Sans MT" pitchFamily="34" charset="0"/>
            </a:rPr>
            <a:t> </a:t>
          </a:r>
        </a:p>
      </xdr:txBody>
    </xdr:sp>
    <xdr:clientData fPrintsWithSheet="0"/>
  </xdr:oneCellAnchor>
</xdr:wsDr>
</file>

<file path=xl/drawings/drawing11.xml><?xml version="1.0" encoding="utf-8"?>
<xdr:wsDr xmlns:xdr="http://schemas.openxmlformats.org/drawingml/2006/spreadsheetDrawing" xmlns:a="http://schemas.openxmlformats.org/drawingml/2006/main">
  <xdr:twoCellAnchor>
    <xdr:from>
      <xdr:col>2</xdr:col>
      <xdr:colOff>36180</xdr:colOff>
      <xdr:row>30</xdr:row>
      <xdr:rowOff>9523</xdr:rowOff>
    </xdr:from>
    <xdr:to>
      <xdr:col>3</xdr:col>
      <xdr:colOff>19050</xdr:colOff>
      <xdr:row>30</xdr:row>
      <xdr:rowOff>190499</xdr:rowOff>
    </xdr:to>
    <xdr:sp macro="" textlink="">
      <xdr:nvSpPr>
        <xdr:cNvPr id="2" name="Right Arrow 1">
          <a:extLst>
            <a:ext uri="{FF2B5EF4-FFF2-40B4-BE49-F238E27FC236}">
              <a16:creationId xmlns:a16="http://schemas.microsoft.com/office/drawing/2014/main" id="{00000000-0008-0000-1500-000002000000}"/>
            </a:ext>
          </a:extLst>
        </xdr:cNvPr>
        <xdr:cNvSpPr/>
      </xdr:nvSpPr>
      <xdr:spPr>
        <a:xfrm rot="10800000">
          <a:off x="3741405" y="6029323"/>
          <a:ext cx="592470" cy="180976"/>
        </a:xfrm>
        <a:prstGeom prst="rightArrow">
          <a:avLst/>
        </a:prstGeom>
        <a:solidFill>
          <a:srgbClr val="FF0000"/>
        </a:solidFill>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28575</xdr:colOff>
      <xdr:row>2</xdr:row>
      <xdr:rowOff>19050</xdr:rowOff>
    </xdr:from>
    <xdr:to>
      <xdr:col>3</xdr:col>
      <xdr:colOff>11445</xdr:colOff>
      <xdr:row>3</xdr:row>
      <xdr:rowOff>1</xdr:rowOff>
    </xdr:to>
    <xdr:sp macro="" textlink="">
      <xdr:nvSpPr>
        <xdr:cNvPr id="3" name="Right Arrow 2">
          <a:extLst>
            <a:ext uri="{FF2B5EF4-FFF2-40B4-BE49-F238E27FC236}">
              <a16:creationId xmlns:a16="http://schemas.microsoft.com/office/drawing/2014/main" id="{00000000-0008-0000-1500-000003000000}"/>
            </a:ext>
          </a:extLst>
        </xdr:cNvPr>
        <xdr:cNvSpPr/>
      </xdr:nvSpPr>
      <xdr:spPr>
        <a:xfrm rot="10800000">
          <a:off x="3733800" y="485775"/>
          <a:ext cx="592470" cy="180976"/>
        </a:xfrm>
        <a:prstGeom prst="rightArrow">
          <a:avLst/>
        </a:prstGeom>
        <a:solidFill>
          <a:srgbClr val="FF0000"/>
        </a:solidFill>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19051</xdr:colOff>
      <xdr:row>3</xdr:row>
      <xdr:rowOff>104775</xdr:rowOff>
    </xdr:from>
    <xdr:to>
      <xdr:col>2</xdr:col>
      <xdr:colOff>590551</xdr:colOff>
      <xdr:row>4</xdr:row>
      <xdr:rowOff>85725</xdr:rowOff>
    </xdr:to>
    <xdr:sp macro="" textlink="">
      <xdr:nvSpPr>
        <xdr:cNvPr id="4" name="Right Arrow 3">
          <a:extLst>
            <a:ext uri="{FF2B5EF4-FFF2-40B4-BE49-F238E27FC236}">
              <a16:creationId xmlns:a16="http://schemas.microsoft.com/office/drawing/2014/main" id="{00000000-0008-0000-1500-000004000000}"/>
            </a:ext>
          </a:extLst>
        </xdr:cNvPr>
        <xdr:cNvSpPr/>
      </xdr:nvSpPr>
      <xdr:spPr>
        <a:xfrm rot="11708115">
          <a:off x="3724276" y="771525"/>
          <a:ext cx="571500" cy="180975"/>
        </a:xfrm>
        <a:prstGeom prst="rightArrow">
          <a:avLst/>
        </a:prstGeom>
        <a:solidFill>
          <a:srgbClr val="FF0000"/>
        </a:solidFill>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3</xdr:col>
      <xdr:colOff>745943</xdr:colOff>
      <xdr:row>44</xdr:row>
      <xdr:rowOff>36739</xdr:rowOff>
    </xdr:from>
    <xdr:to>
      <xdr:col>6</xdr:col>
      <xdr:colOff>647699</xdr:colOff>
      <xdr:row>52</xdr:row>
      <xdr:rowOff>85725</xdr:rowOff>
    </xdr:to>
    <xdr:sp macro="" textlink="">
      <xdr:nvSpPr>
        <xdr:cNvPr id="4" name="Text Box 7" descr="Need Help? Ask SCORE.">
          <a:extLst>
            <a:ext uri="{FF2B5EF4-FFF2-40B4-BE49-F238E27FC236}">
              <a16:creationId xmlns:a16="http://schemas.microsoft.com/office/drawing/2014/main" id="{00000000-0008-0000-0100-000004000000}"/>
            </a:ext>
          </a:extLst>
        </xdr:cNvPr>
        <xdr:cNvSpPr txBox="1">
          <a:spLocks noChangeAspect="1" noChangeArrowheads="1"/>
        </xdr:cNvSpPr>
      </xdr:nvSpPr>
      <xdr:spPr bwMode="auto">
        <a:xfrm>
          <a:off x="5051243" y="7342414"/>
          <a:ext cx="3568881" cy="1363436"/>
        </a:xfrm>
        <a:prstGeom prst="rect">
          <a:avLst/>
        </a:prstGeom>
        <a:noFill/>
        <a:ln w="57150">
          <a:solidFill>
            <a:srgbClr val="44C8F5"/>
          </a:solidFill>
          <a:miter lim="800000"/>
          <a:headEnd/>
          <a:tailEnd/>
        </a:ln>
      </xdr:spPr>
      <xdr:txBody>
        <a:bodyPr vertOverflow="clip" wrap="square" lIns="91440" tIns="91440" rIns="91440" bIns="91440" anchor="ctr" anchorCtr="0" upright="1">
          <a:noAutofit/>
        </a:bodyPr>
        <a:lstStyle/>
        <a:p>
          <a:pPr marL="0" marR="0" lvl="0" indent="0" algn="l" defTabSz="914400" rtl="1" eaLnBrk="1" fontAlgn="auto" latinLnBrk="0" hangingPunct="1">
            <a:lnSpc>
              <a:spcPct val="100000"/>
            </a:lnSpc>
            <a:spcBef>
              <a:spcPts val="600"/>
            </a:spcBef>
            <a:spcAft>
              <a:spcPts val="0"/>
            </a:spcAft>
            <a:buClrTx/>
            <a:buSzTx/>
            <a:buFontTx/>
            <a:buNone/>
            <a:tabLst/>
            <a:defRPr sz="1000"/>
          </a:pPr>
          <a:r>
            <a:rPr kumimoji="0" lang="en-US" sz="1100" b="0" i="0" u="none" strike="noStrike" kern="0" cap="none" spc="0" normalizeH="0" baseline="0" noProof="0">
              <a:ln>
                <a:noFill/>
              </a:ln>
              <a:solidFill>
                <a:sysClr val="windowText" lastClr="000000"/>
              </a:solidFill>
              <a:effectLst/>
              <a:uLnTx/>
              <a:uFillTx/>
              <a:latin typeface="Gill Sans MT" pitchFamily="34" charset="0"/>
              <a:cs typeface="Arial"/>
            </a:rPr>
            <a:t>Note: For existing businesses, this should be the "bucket"  </a:t>
          </a:r>
          <a:r>
            <a:rPr lang="en-US" sz="1100" b="0" i="0" baseline="0">
              <a:solidFill>
                <a:sysClr val="windowText" lastClr="000000"/>
              </a:solidFill>
              <a:effectLst/>
              <a:latin typeface="Gill Sans MT" pitchFamily="34" charset="0"/>
              <a:ea typeface="+mn-ea"/>
              <a:cs typeface="+mn-cs"/>
            </a:rPr>
            <a:t>of cash plus receivables that will be turned </a:t>
          </a:r>
          <a:r>
            <a:rPr kumimoji="0" lang="en-US" sz="1100" b="0" i="0" u="none" strike="noStrike" kern="0" cap="none" spc="0" normalizeH="0" baseline="0" noProof="0">
              <a:ln>
                <a:noFill/>
              </a:ln>
              <a:solidFill>
                <a:sysClr val="windowText" lastClr="000000"/>
              </a:solidFill>
              <a:effectLst/>
              <a:uLnTx/>
              <a:uFillTx/>
              <a:latin typeface="Gill Sans MT" pitchFamily="34" charset="0"/>
              <a:cs typeface="Arial"/>
            </a:rPr>
            <a:t>into cash, minus payables that will be paid out in cash in the near term (i.e. in the first months of the plan) </a:t>
          </a:r>
        </a:p>
      </xdr:txBody>
    </xdr:sp>
    <xdr:clientData fLocksWithSheet="0" fPrintsWithSheet="0"/>
  </xdr:twoCellAnchor>
</xdr:wsDr>
</file>

<file path=xl/drawings/drawing3.xml><?xml version="1.0" encoding="utf-8"?>
<xdr:wsDr xmlns:xdr="http://schemas.openxmlformats.org/drawingml/2006/spreadsheetDrawing" xmlns:a="http://schemas.openxmlformats.org/drawingml/2006/main">
  <xdr:twoCellAnchor>
    <xdr:from>
      <xdr:col>0</xdr:col>
      <xdr:colOff>38100</xdr:colOff>
      <xdr:row>0</xdr:row>
      <xdr:rowOff>123824</xdr:rowOff>
    </xdr:from>
    <xdr:to>
      <xdr:col>9</xdr:col>
      <xdr:colOff>333375</xdr:colOff>
      <xdr:row>40</xdr:row>
      <xdr:rowOff>66675</xdr:rowOff>
    </xdr:to>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38100" y="123824"/>
          <a:ext cx="5781675" cy="75628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       </a:t>
          </a:r>
          <a:r>
            <a:rPr lang="en-US" sz="1100" b="1" u="sng">
              <a:solidFill>
                <a:schemeClr val="dk1"/>
              </a:solidFill>
              <a:effectLst/>
              <a:latin typeface="+mn-lt"/>
              <a:ea typeface="+mn-ea"/>
              <a:cs typeface="+mn-cs"/>
            </a:rPr>
            <a:t>Instructions for the Sales (Revenue)  &amp; Teacher Pay Forecasting Spreadsheet</a:t>
          </a:r>
          <a:endParaRPr lang="en-US" sz="1000">
            <a:solidFill>
              <a:schemeClr val="dk1"/>
            </a:solidFill>
            <a:effectLst/>
            <a:latin typeface="+mn-lt"/>
            <a:ea typeface="+mn-ea"/>
            <a:cs typeface="+mn-cs"/>
          </a:endParaRPr>
        </a:p>
        <a:p>
          <a:r>
            <a:rPr lang="en-US" sz="1100">
              <a:solidFill>
                <a:schemeClr val="dk1"/>
              </a:solidFill>
              <a:effectLst/>
              <a:latin typeface="+mn-lt"/>
              <a:ea typeface="+mn-ea"/>
              <a:cs typeface="+mn-cs"/>
            </a:rPr>
            <a:t> </a:t>
          </a:r>
        </a:p>
        <a:p>
          <a:r>
            <a:rPr lang="en-US" sz="1100" b="1">
              <a:solidFill>
                <a:schemeClr val="dk1"/>
              </a:solidFill>
              <a:effectLst/>
              <a:latin typeface="+mn-lt"/>
              <a:ea typeface="+mn-ea"/>
              <a:cs typeface="+mn-cs"/>
            </a:rPr>
            <a:t>Open the third tab at the bottom of the screen - </a:t>
          </a:r>
          <a:r>
            <a:rPr lang="en-US" sz="1100" b="1">
              <a:solidFill>
                <a:srgbClr val="FF0000"/>
              </a:solidFill>
              <a:effectLst/>
              <a:latin typeface="+mn-lt"/>
              <a:ea typeface="+mn-ea"/>
              <a:cs typeface="+mn-cs"/>
            </a:rPr>
            <a:t>Sales Forecast:</a:t>
          </a:r>
        </a:p>
        <a:p>
          <a:endParaRPr lang="en-US" sz="1100">
            <a:solidFill>
              <a:schemeClr val="dk1"/>
            </a:solidFill>
            <a:effectLst/>
            <a:latin typeface="+mn-lt"/>
            <a:ea typeface="+mn-ea"/>
            <a:cs typeface="+mn-cs"/>
          </a:endParaRPr>
        </a:p>
        <a:p>
          <a:pPr lvl="0"/>
          <a:r>
            <a:rPr lang="en-US" sz="1600" b="1">
              <a:solidFill>
                <a:schemeClr val="dk1"/>
              </a:solidFill>
              <a:effectLst/>
              <a:latin typeface="+mn-lt"/>
              <a:ea typeface="+mn-ea"/>
              <a:cs typeface="+mn-cs"/>
            </a:rPr>
            <a:t>Fill in the colored boxes only!</a:t>
          </a:r>
          <a:r>
            <a:rPr lang="en-US" sz="1600">
              <a:solidFill>
                <a:schemeClr val="dk1"/>
              </a:solidFill>
              <a:effectLst/>
              <a:latin typeface="+mn-lt"/>
              <a:ea typeface="+mn-ea"/>
              <a:cs typeface="+mn-cs"/>
            </a:rPr>
            <a:t> </a:t>
          </a:r>
          <a:r>
            <a:rPr lang="en-US" sz="1100">
              <a:solidFill>
                <a:schemeClr val="dk1"/>
              </a:solidFill>
              <a:effectLst/>
              <a:latin typeface="+mn-lt"/>
              <a:ea typeface="+mn-ea"/>
              <a:cs typeface="+mn-cs"/>
            </a:rPr>
            <a:t>(The white ones are protected and you will get a message saying you cannot enter anything in them if you try by accident)</a:t>
          </a:r>
          <a:endParaRPr lang="en-US" sz="1600">
            <a:solidFill>
              <a:schemeClr val="dk1"/>
            </a:solidFill>
            <a:effectLst/>
            <a:latin typeface="+mn-lt"/>
            <a:ea typeface="+mn-ea"/>
            <a:cs typeface="+mn-cs"/>
          </a:endParaRPr>
        </a:p>
        <a:p>
          <a:pPr lvl="0"/>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In the </a:t>
          </a:r>
          <a:r>
            <a:rPr lang="en-US" sz="1100" b="1">
              <a:solidFill>
                <a:schemeClr val="dk1"/>
              </a:solidFill>
              <a:effectLst/>
              <a:latin typeface="+mn-lt"/>
              <a:ea typeface="+mn-ea"/>
              <a:cs typeface="+mn-cs"/>
            </a:rPr>
            <a:t>upper section (Rows 1-19)</a:t>
          </a:r>
          <a:r>
            <a:rPr lang="en-US" sz="1100">
              <a:solidFill>
                <a:schemeClr val="dk1"/>
              </a:solidFill>
              <a:effectLst/>
              <a:latin typeface="+mn-lt"/>
              <a:ea typeface="+mn-ea"/>
              <a:cs typeface="+mn-cs"/>
            </a:rPr>
            <a:t>:</a:t>
          </a:r>
        </a:p>
        <a:p>
          <a:pPr lvl="1"/>
          <a:r>
            <a:rPr lang="en-US" sz="1100">
              <a:solidFill>
                <a:schemeClr val="dk1"/>
              </a:solidFill>
              <a:effectLst/>
              <a:latin typeface="+mn-lt"/>
              <a:ea typeface="+mn-ea"/>
              <a:cs typeface="+mn-cs"/>
            </a:rPr>
            <a:t>-Fill in the </a:t>
          </a:r>
          <a:r>
            <a:rPr lang="en-US" sz="1100" b="1">
              <a:solidFill>
                <a:schemeClr val="dk1"/>
              </a:solidFill>
              <a:effectLst/>
              <a:latin typeface="+mn-lt"/>
              <a:ea typeface="+mn-ea"/>
              <a:cs typeface="+mn-cs"/>
            </a:rPr>
            <a:t>names of the classrooms</a:t>
          </a:r>
          <a:r>
            <a:rPr lang="en-US" sz="1100">
              <a:solidFill>
                <a:schemeClr val="dk1"/>
              </a:solidFill>
              <a:effectLst/>
              <a:latin typeface="+mn-lt"/>
              <a:ea typeface="+mn-ea"/>
              <a:cs typeface="+mn-cs"/>
            </a:rPr>
            <a:t>. Rows 8-18 in Column "B"</a:t>
          </a:r>
        </a:p>
        <a:p>
          <a:pPr lvl="1"/>
          <a:r>
            <a:rPr lang="en-US" sz="1100">
              <a:solidFill>
                <a:schemeClr val="dk1"/>
              </a:solidFill>
              <a:effectLst/>
              <a:latin typeface="+mn-lt"/>
              <a:ea typeface="+mn-ea"/>
              <a:cs typeface="+mn-cs"/>
            </a:rPr>
            <a:t>-Fill in the </a:t>
          </a:r>
          <a:r>
            <a:rPr lang="en-US" sz="1100" b="1">
              <a:solidFill>
                <a:schemeClr val="dk1"/>
              </a:solidFill>
              <a:effectLst/>
              <a:latin typeface="+mn-lt"/>
              <a:ea typeface="+mn-ea"/>
              <a:cs typeface="+mn-cs"/>
            </a:rPr>
            <a:t>average weekly tuition per child </a:t>
          </a:r>
          <a:r>
            <a:rPr lang="en-US" sz="1100">
              <a:solidFill>
                <a:schemeClr val="dk1"/>
              </a:solidFill>
              <a:effectLst/>
              <a:latin typeface="+mn-lt"/>
              <a:ea typeface="+mn-ea"/>
              <a:cs typeface="+mn-cs"/>
            </a:rPr>
            <a:t>for each classroom. Column “C”</a:t>
          </a:r>
        </a:p>
        <a:p>
          <a:pPr lvl="1"/>
          <a:r>
            <a:rPr lang="en-US" sz="1100">
              <a:solidFill>
                <a:schemeClr val="dk1"/>
              </a:solidFill>
              <a:effectLst/>
              <a:latin typeface="+mn-lt"/>
              <a:ea typeface="+mn-ea"/>
              <a:cs typeface="+mn-cs"/>
            </a:rPr>
            <a:t>-Fill in the </a:t>
          </a:r>
          <a:r>
            <a:rPr lang="en-US" sz="1100" b="1">
              <a:solidFill>
                <a:schemeClr val="dk1"/>
              </a:solidFill>
              <a:effectLst/>
              <a:latin typeface="+mn-lt"/>
              <a:ea typeface="+mn-ea"/>
              <a:cs typeface="+mn-cs"/>
            </a:rPr>
            <a:t>teacher ratio</a:t>
          </a:r>
          <a:r>
            <a:rPr lang="en-US" sz="1100">
              <a:solidFill>
                <a:schemeClr val="dk1"/>
              </a:solidFill>
              <a:effectLst/>
              <a:latin typeface="+mn-lt"/>
              <a:ea typeface="+mn-ea"/>
              <a:cs typeface="+mn-cs"/>
            </a:rPr>
            <a:t> you are using or want to use. Column “E”</a:t>
          </a:r>
        </a:p>
        <a:p>
          <a:pPr lvl="1"/>
          <a:r>
            <a:rPr lang="en-US" sz="1100">
              <a:solidFill>
                <a:schemeClr val="dk1"/>
              </a:solidFill>
              <a:effectLst/>
              <a:latin typeface="+mn-lt"/>
              <a:ea typeface="+mn-ea"/>
              <a:cs typeface="+mn-cs"/>
            </a:rPr>
            <a:t>-Note:  If there are children with different tuitions in the same classroom go to tab -  Tuition Calculator V2. </a:t>
          </a:r>
        </a:p>
        <a:p>
          <a:pPr lvl="2"/>
          <a:r>
            <a:rPr lang="en-US" sz="1100" b="1">
              <a:solidFill>
                <a:schemeClr val="dk1"/>
              </a:solidFill>
              <a:effectLst/>
              <a:latin typeface="+mn-lt"/>
              <a:ea typeface="+mn-ea"/>
              <a:cs typeface="+mn-cs"/>
            </a:rPr>
            <a:t>-</a:t>
          </a:r>
          <a:r>
            <a:rPr lang="en-US" sz="1100">
              <a:solidFill>
                <a:schemeClr val="dk1"/>
              </a:solidFill>
              <a:effectLst/>
              <a:latin typeface="+mn-lt"/>
              <a:ea typeface="+mn-ea"/>
              <a:cs typeface="+mn-cs"/>
            </a:rPr>
            <a:t>- </a:t>
          </a:r>
          <a:r>
            <a:rPr lang="en-US" sz="1100" b="1">
              <a:solidFill>
                <a:schemeClr val="dk1"/>
              </a:solidFill>
              <a:effectLst/>
              <a:latin typeface="+mn-lt"/>
              <a:ea typeface="+mn-ea"/>
              <a:cs typeface="+mn-cs"/>
            </a:rPr>
            <a:t>Use V2 </a:t>
          </a:r>
          <a:r>
            <a:rPr lang="en-US" sz="1100">
              <a:solidFill>
                <a:schemeClr val="dk1"/>
              </a:solidFill>
              <a:effectLst/>
              <a:latin typeface="+mn-lt"/>
              <a:ea typeface="+mn-ea"/>
              <a:cs typeface="+mn-cs"/>
            </a:rPr>
            <a:t>If there different levels of tuition, </a:t>
          </a:r>
          <a:r>
            <a:rPr lang="en-US" sz="1100" baseline="0">
              <a:solidFill>
                <a:schemeClr val="dk1"/>
              </a:solidFill>
              <a:effectLst/>
              <a:latin typeface="+mn-lt"/>
              <a:ea typeface="+mn-ea"/>
              <a:cs typeface="+mn-cs"/>
            </a:rPr>
            <a:t> l</a:t>
          </a:r>
          <a:r>
            <a:rPr lang="en-US" sz="1100">
              <a:solidFill>
                <a:schemeClr val="dk1"/>
              </a:solidFill>
              <a:effectLst/>
              <a:latin typeface="+mn-lt"/>
              <a:ea typeface="+mn-ea"/>
              <a:cs typeface="+mn-cs"/>
            </a:rPr>
            <a:t>ist each child and what they pay. Do this for each classroom. Example: John $120, Beth $132, Sue $123, etc.</a:t>
          </a:r>
        </a:p>
        <a:p>
          <a:pPr lvl="0"/>
          <a:r>
            <a:rPr lang="en-US" sz="1100" b="1">
              <a:solidFill>
                <a:schemeClr val="dk1"/>
              </a:solidFill>
              <a:effectLst/>
              <a:latin typeface="+mn-lt"/>
              <a:ea typeface="+mn-ea"/>
              <a:cs typeface="+mn-cs"/>
            </a:rPr>
            <a:t>Next – go to the second tab – the Pay Calculator</a:t>
          </a:r>
          <a:endParaRPr lang="en-US" sz="1100">
            <a:solidFill>
              <a:schemeClr val="dk1"/>
            </a:solidFill>
            <a:effectLst/>
            <a:latin typeface="+mn-lt"/>
            <a:ea typeface="+mn-ea"/>
            <a:cs typeface="+mn-cs"/>
          </a:endParaRPr>
        </a:p>
        <a:p>
          <a:pPr lvl="1"/>
          <a:r>
            <a:rPr lang="en-US" sz="1100">
              <a:solidFill>
                <a:schemeClr val="dk1"/>
              </a:solidFill>
              <a:effectLst/>
              <a:latin typeface="+mn-lt"/>
              <a:ea typeface="+mn-ea"/>
              <a:cs typeface="+mn-cs"/>
            </a:rPr>
            <a:t>-For each classroom enter the </a:t>
          </a:r>
          <a:r>
            <a:rPr lang="en-US" sz="1100" b="1">
              <a:solidFill>
                <a:schemeClr val="dk1"/>
              </a:solidFill>
              <a:effectLst/>
              <a:latin typeface="+mn-lt"/>
              <a:ea typeface="+mn-ea"/>
              <a:cs typeface="+mn-cs"/>
            </a:rPr>
            <a:t>teacher’s hourly pay rate</a:t>
          </a:r>
          <a:r>
            <a:rPr lang="en-US" sz="1100">
              <a:solidFill>
                <a:schemeClr val="dk1"/>
              </a:solidFill>
              <a:effectLst/>
              <a:latin typeface="+mn-lt"/>
              <a:ea typeface="+mn-ea"/>
              <a:cs typeface="+mn-cs"/>
            </a:rPr>
            <a:t> and the </a:t>
          </a:r>
          <a:r>
            <a:rPr lang="en-US" sz="1100" b="1">
              <a:solidFill>
                <a:schemeClr val="dk1"/>
              </a:solidFill>
              <a:effectLst/>
              <a:latin typeface="+mn-lt"/>
              <a:ea typeface="+mn-ea"/>
              <a:cs typeface="+mn-cs"/>
            </a:rPr>
            <a:t>number of hours a week</a:t>
          </a:r>
          <a:r>
            <a:rPr lang="en-US" sz="1100">
              <a:solidFill>
                <a:schemeClr val="dk1"/>
              </a:solidFill>
              <a:effectLst/>
              <a:latin typeface="+mn-lt"/>
              <a:ea typeface="+mn-ea"/>
              <a:cs typeface="+mn-cs"/>
            </a:rPr>
            <a:t> they work. The number of weeks per month is pre-set at 4.34 but can be changed</a:t>
          </a:r>
          <a:r>
            <a:rPr lang="en-US" sz="1100" baseline="0">
              <a:solidFill>
                <a:schemeClr val="dk1"/>
              </a:solidFill>
              <a:effectLst/>
              <a:latin typeface="+mn-lt"/>
              <a:ea typeface="+mn-ea"/>
              <a:cs typeface="+mn-cs"/>
            </a:rPr>
            <a:t> to any number of weeks in a months - some months have 4 pay periods a few have 5</a:t>
          </a:r>
          <a:endParaRPr lang="en-US" sz="1100">
            <a:solidFill>
              <a:schemeClr val="dk1"/>
            </a:solidFill>
            <a:effectLst/>
            <a:latin typeface="+mn-lt"/>
            <a:ea typeface="+mn-ea"/>
            <a:cs typeface="+mn-cs"/>
          </a:endParaRPr>
        </a:p>
        <a:p>
          <a:pPr lvl="1"/>
          <a:r>
            <a:rPr lang="en-US" sz="1100">
              <a:solidFill>
                <a:schemeClr val="dk1"/>
              </a:solidFill>
              <a:effectLst/>
              <a:latin typeface="+mn-lt"/>
              <a:ea typeface="+mn-ea"/>
              <a:cs typeface="+mn-cs"/>
            </a:rPr>
            <a:t>-The classroom pay for a month will be calculated and automatically posted back to the Sales Forecasting spreadsheet</a:t>
          </a:r>
        </a:p>
        <a:p>
          <a:pPr lvl="1"/>
          <a:r>
            <a:rPr lang="en-US" sz="1100">
              <a:solidFill>
                <a:schemeClr val="dk1"/>
              </a:solidFill>
              <a:effectLst/>
              <a:latin typeface="+mn-lt"/>
              <a:ea typeface="+mn-ea"/>
              <a:cs typeface="+mn-cs"/>
            </a:rPr>
            <a:t>-Note. If you have 2 teachers per classroom you will have to calculate the average hourly pay if they are paid different amounts. Example. One gets $9/hr. the other $10. Average is $9.50.</a:t>
          </a:r>
        </a:p>
        <a:p>
          <a:pPr lvl="0"/>
          <a:r>
            <a:rPr lang="en-US" sz="1100" b="1">
              <a:solidFill>
                <a:schemeClr val="dk1"/>
              </a:solidFill>
              <a:effectLst/>
              <a:latin typeface="+mn-lt"/>
              <a:ea typeface="+mn-ea"/>
              <a:cs typeface="+mn-cs"/>
            </a:rPr>
            <a:t>Next – Go back to the lower section  first tab Sales Forecasting - Rows 23 and onwards</a:t>
          </a:r>
          <a:r>
            <a:rPr lang="en-US" sz="1100">
              <a:solidFill>
                <a:schemeClr val="dk1"/>
              </a:solidFill>
              <a:effectLst/>
              <a:latin typeface="+mn-lt"/>
              <a:ea typeface="+mn-ea"/>
              <a:cs typeface="+mn-cs"/>
            </a:rPr>
            <a:t>:</a:t>
          </a:r>
        </a:p>
        <a:p>
          <a:pPr lvl="1"/>
          <a:r>
            <a:rPr lang="en-US" sz="1100">
              <a:solidFill>
                <a:schemeClr val="dk1"/>
              </a:solidFill>
              <a:effectLst/>
              <a:latin typeface="+mn-lt"/>
              <a:ea typeface="+mn-ea"/>
              <a:cs typeface="+mn-cs"/>
            </a:rPr>
            <a:t>-Note that the months (Row 23) are set for Aug – July. You can change the names of the months to fit the forecast timeline you are working on. </a:t>
          </a:r>
        </a:p>
        <a:p>
          <a:pPr lvl="1"/>
          <a:r>
            <a:rPr lang="en-US" sz="1100">
              <a:solidFill>
                <a:schemeClr val="dk1"/>
              </a:solidFill>
              <a:effectLst/>
              <a:latin typeface="+mn-lt"/>
              <a:ea typeface="+mn-ea"/>
              <a:cs typeface="+mn-cs"/>
            </a:rPr>
            <a:t>-Fill in by month the number of children in the colored rows – Example: Row 25</a:t>
          </a:r>
        </a:p>
        <a:p>
          <a:pPr lvl="2"/>
          <a:r>
            <a:rPr lang="en-US" sz="1100">
              <a:solidFill>
                <a:schemeClr val="dk1"/>
              </a:solidFill>
              <a:effectLst/>
              <a:latin typeface="+mn-lt"/>
              <a:ea typeface="+mn-ea"/>
              <a:cs typeface="+mn-cs"/>
            </a:rPr>
            <a:t>-Just fill in the number of children by month by classroom. </a:t>
          </a:r>
        </a:p>
        <a:p>
          <a:pPr lvl="3"/>
          <a:r>
            <a:rPr lang="en-US" sz="1100">
              <a:solidFill>
                <a:schemeClr val="dk1"/>
              </a:solidFill>
              <a:effectLst/>
              <a:latin typeface="+mn-lt"/>
              <a:ea typeface="+mn-ea"/>
              <a:cs typeface="+mn-cs"/>
            </a:rPr>
            <a:t>-Remember to take into account seasonality – summer months</a:t>
          </a:r>
        </a:p>
        <a:p>
          <a:pPr lvl="2"/>
          <a:r>
            <a:rPr lang="en-US" sz="1100">
              <a:solidFill>
                <a:schemeClr val="dk1"/>
              </a:solidFill>
              <a:effectLst/>
              <a:latin typeface="+mn-lt"/>
              <a:ea typeface="+mn-ea"/>
              <a:cs typeface="+mn-cs"/>
            </a:rPr>
            <a:t>-Everything else – all the white boxes – will automatically calculate	</a:t>
          </a:r>
        </a:p>
        <a:p>
          <a:pPr lvl="0"/>
          <a:r>
            <a:rPr lang="en-US" sz="1100" b="1">
              <a:solidFill>
                <a:schemeClr val="dk1"/>
              </a:solidFill>
              <a:effectLst/>
              <a:latin typeface="+mn-lt"/>
              <a:ea typeface="+mn-ea"/>
              <a:cs typeface="+mn-cs"/>
            </a:rPr>
            <a:t>Next -</a:t>
          </a:r>
          <a:r>
            <a:rPr lang="en-US" sz="1100">
              <a:solidFill>
                <a:schemeClr val="dk1"/>
              </a:solidFill>
              <a:effectLst/>
              <a:latin typeface="+mn-lt"/>
              <a:ea typeface="+mn-ea"/>
              <a:cs typeface="+mn-cs"/>
            </a:rPr>
            <a:t> When you are finished go to the </a:t>
          </a:r>
          <a:r>
            <a:rPr lang="en-US" sz="1100" b="1">
              <a:solidFill>
                <a:schemeClr val="dk1"/>
              </a:solidFill>
              <a:effectLst/>
              <a:latin typeface="+mn-lt"/>
              <a:ea typeface="+mn-ea"/>
              <a:cs typeface="+mn-cs"/>
            </a:rPr>
            <a:t>Annual PL Template tab</a:t>
          </a:r>
          <a:r>
            <a:rPr lang="en-US" sz="1100">
              <a:solidFill>
                <a:schemeClr val="dk1"/>
              </a:solidFill>
              <a:effectLst/>
              <a:latin typeface="+mn-lt"/>
              <a:ea typeface="+mn-ea"/>
              <a:cs typeface="+mn-cs"/>
            </a:rPr>
            <a:t>. You will see that the classroom/program tuitions that were forecasted are automatically posted there along with the teacher compensation. Fill in any other revenue and expenses to see your profit or loss for a year.</a:t>
          </a:r>
          <a:r>
            <a:rPr lang="en-US" sz="1100" b="1">
              <a:solidFill>
                <a:schemeClr val="dk1"/>
              </a:solidFill>
              <a:effectLst/>
              <a:latin typeface="+mn-lt"/>
              <a:ea typeface="+mn-ea"/>
              <a:cs typeface="+mn-cs"/>
            </a:rPr>
            <a:t> </a:t>
          </a:r>
        </a:p>
        <a:p>
          <a:pPr lvl="0"/>
          <a:endParaRPr lang="en-US" sz="1100" b="1">
            <a:solidFill>
              <a:schemeClr val="dk1"/>
            </a:solidFill>
            <a:effectLst/>
            <a:latin typeface="+mn-lt"/>
            <a:ea typeface="+mn-ea"/>
            <a:cs typeface="+mn-cs"/>
          </a:endParaRPr>
        </a:p>
        <a:p>
          <a:pPr lvl="0"/>
          <a:r>
            <a:rPr lang="en-US" sz="1100" b="1">
              <a:solidFill>
                <a:schemeClr val="dk1"/>
              </a:solidFill>
              <a:effectLst/>
              <a:latin typeface="+mn-lt"/>
              <a:ea typeface="+mn-ea"/>
              <a:cs typeface="+mn-cs"/>
            </a:rPr>
            <a:t>Next - If you are starting a school or moving into commercial space - Use the second tab - "Starting Point"</a:t>
          </a:r>
        </a:p>
        <a:p>
          <a:pPr lvl="1"/>
          <a:r>
            <a:rPr lang="en-US" sz="1100" b="1">
              <a:solidFill>
                <a:schemeClr val="dk1"/>
              </a:solidFill>
              <a:effectLst/>
              <a:latin typeface="+mn-lt"/>
              <a:ea typeface="+mn-ea"/>
              <a:cs typeface="+mn-cs"/>
            </a:rPr>
            <a:t>- </a:t>
          </a:r>
          <a:r>
            <a:rPr lang="en-US" sz="1100" b="0">
              <a:solidFill>
                <a:schemeClr val="dk1"/>
              </a:solidFill>
              <a:effectLst/>
              <a:latin typeface="+mn-lt"/>
              <a:ea typeface="+mn-ea"/>
              <a:cs typeface="+mn-cs"/>
            </a:rPr>
            <a:t>Fill in the expenses that you will have before the first day the school or center is open. Those are the start up expenses. Money spent after opening day is usually considered normal operating expenses.</a:t>
          </a:r>
          <a:endParaRPr lang="en-US" sz="1100" b="1">
            <a:solidFill>
              <a:schemeClr val="dk1"/>
            </a:solidFill>
            <a:effectLst/>
            <a:latin typeface="+mn-lt"/>
            <a:ea typeface="+mn-ea"/>
            <a:cs typeface="+mn-cs"/>
          </a:endParaRPr>
        </a:p>
        <a:p>
          <a:pPr lvl="0"/>
          <a:endParaRPr lang="en-US" sz="1100" b="1">
            <a:solidFill>
              <a:schemeClr val="dk1"/>
            </a:solidFill>
            <a:effectLst/>
            <a:latin typeface="+mn-lt"/>
            <a:ea typeface="+mn-ea"/>
            <a:cs typeface="+mn-cs"/>
          </a:endParaRPr>
        </a:p>
        <a:p>
          <a:pPr lvl="0"/>
          <a:r>
            <a:rPr lang="en-US" sz="1100" b="0">
              <a:solidFill>
                <a:srgbClr val="002060"/>
              </a:solidFill>
              <a:effectLst/>
              <a:latin typeface="+mn-lt"/>
              <a:ea typeface="+mn-ea"/>
              <a:cs typeface="+mn-cs"/>
            </a:rPr>
            <a:t>Note: the worksheets are "protected" so the white cells cannot be filled in accidently and ruin the hidden formulas. The password is 1234 to unlock the protection</a:t>
          </a:r>
          <a:r>
            <a:rPr lang="en-US" sz="1100" b="0" baseline="0">
              <a:solidFill>
                <a:srgbClr val="002060"/>
              </a:solidFill>
              <a:effectLst/>
              <a:latin typeface="+mn-lt"/>
              <a:ea typeface="+mn-ea"/>
              <a:cs typeface="+mn-cs"/>
            </a:rPr>
            <a:t> on each page if there are Excel users who want access to altering the spreadsheets</a:t>
          </a:r>
          <a:endParaRPr lang="en-US" sz="1100" b="0">
            <a:solidFill>
              <a:srgbClr val="002060"/>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absoluteAnchor>
    <xdr:pos x="5051243" y="8542564"/>
    <xdr:ext cx="3568881" cy="1592036"/>
    <xdr:sp macro="" textlink="">
      <xdr:nvSpPr>
        <xdr:cNvPr id="2" name="Text Box 7" descr="Need Help? Ask SCORE.">
          <a:extLst>
            <a:ext uri="{FF2B5EF4-FFF2-40B4-BE49-F238E27FC236}">
              <a16:creationId xmlns:a16="http://schemas.microsoft.com/office/drawing/2014/main" id="{A48DA7D9-3EDC-43F6-B1E1-59097707D07D}"/>
            </a:ext>
          </a:extLst>
        </xdr:cNvPr>
        <xdr:cNvSpPr txBox="1">
          <a:spLocks noChangeAspect="1" noChangeArrowheads="1"/>
        </xdr:cNvSpPr>
      </xdr:nvSpPr>
      <xdr:spPr bwMode="auto">
        <a:xfrm>
          <a:off x="5051243" y="8542564"/>
          <a:ext cx="3568881" cy="1592036"/>
        </a:xfrm>
        <a:prstGeom prst="rect">
          <a:avLst/>
        </a:prstGeom>
        <a:noFill/>
        <a:ln w="57150">
          <a:solidFill>
            <a:srgbClr val="44C8F5"/>
          </a:solidFill>
          <a:miter lim="800000"/>
          <a:headEnd/>
          <a:tailEnd/>
        </a:ln>
      </xdr:spPr>
      <xdr:txBody>
        <a:bodyPr vertOverflow="clip" wrap="square" lIns="91440" tIns="91440" rIns="91440" bIns="91440" anchor="ctr" anchorCtr="0" upright="1">
          <a:noAutofit/>
        </a:bodyPr>
        <a:lstStyle/>
        <a:p>
          <a:pPr marL="0" marR="0" lvl="0" indent="0" algn="l" defTabSz="914400" rtl="1" eaLnBrk="1" fontAlgn="auto" latinLnBrk="0" hangingPunct="1">
            <a:lnSpc>
              <a:spcPct val="100000"/>
            </a:lnSpc>
            <a:spcBef>
              <a:spcPts val="600"/>
            </a:spcBef>
            <a:spcAft>
              <a:spcPts val="0"/>
            </a:spcAft>
            <a:buClrTx/>
            <a:buSzTx/>
            <a:buFontTx/>
            <a:buNone/>
            <a:tabLst/>
            <a:defRPr sz="1000"/>
          </a:pPr>
          <a:r>
            <a:rPr kumimoji="0" lang="en-US" sz="1100" b="0" i="0" u="none" strike="noStrike" kern="0" cap="none" spc="0" normalizeH="0" baseline="0" noProof="0">
              <a:ln>
                <a:noFill/>
              </a:ln>
              <a:solidFill>
                <a:sysClr val="windowText" lastClr="000000"/>
              </a:solidFill>
              <a:effectLst/>
              <a:uLnTx/>
              <a:uFillTx/>
              <a:latin typeface="Gill Sans MT" pitchFamily="34" charset="0"/>
              <a:cs typeface="Arial"/>
            </a:rPr>
            <a:t>Note: For existing businesses, this should be the "bucket"  </a:t>
          </a:r>
          <a:r>
            <a:rPr lang="en-US" sz="1100" b="0" i="0" baseline="0">
              <a:solidFill>
                <a:sysClr val="windowText" lastClr="000000"/>
              </a:solidFill>
              <a:effectLst/>
              <a:latin typeface="Gill Sans MT" pitchFamily="34" charset="0"/>
              <a:ea typeface="+mn-ea"/>
              <a:cs typeface="+mn-cs"/>
            </a:rPr>
            <a:t>of cash plus receivables that will be turned </a:t>
          </a:r>
          <a:r>
            <a:rPr kumimoji="0" lang="en-US" sz="1100" b="0" i="0" u="none" strike="noStrike" kern="0" cap="none" spc="0" normalizeH="0" baseline="0" noProof="0">
              <a:ln>
                <a:noFill/>
              </a:ln>
              <a:solidFill>
                <a:sysClr val="windowText" lastClr="000000"/>
              </a:solidFill>
              <a:effectLst/>
              <a:uLnTx/>
              <a:uFillTx/>
              <a:latin typeface="Gill Sans MT" pitchFamily="34" charset="0"/>
              <a:cs typeface="Arial"/>
            </a:rPr>
            <a:t>into cash, minus payables that will be paid out in cash in the near term (i.e. in the first months of the plan) </a:t>
          </a:r>
        </a:p>
      </xdr:txBody>
    </xdr:sp>
    <xdr:clientData fLocksWithSheet="0" fPrintsWithSheet="0"/>
  </xdr:absoluteAnchor>
</xdr:wsDr>
</file>

<file path=xl/drawings/drawing5.xml><?xml version="1.0" encoding="utf-8"?>
<xdr:wsDr xmlns:xdr="http://schemas.openxmlformats.org/drawingml/2006/spreadsheetDrawing" xmlns:a="http://schemas.openxmlformats.org/drawingml/2006/main">
  <xdr:twoCellAnchor>
    <xdr:from>
      <xdr:col>11</xdr:col>
      <xdr:colOff>28575</xdr:colOff>
      <xdr:row>7</xdr:row>
      <xdr:rowOff>0</xdr:rowOff>
    </xdr:from>
    <xdr:to>
      <xdr:col>12</xdr:col>
      <xdr:colOff>9525</xdr:colOff>
      <xdr:row>16</xdr:row>
      <xdr:rowOff>0</xdr:rowOff>
    </xdr:to>
    <xdr:sp macro="" textlink="">
      <xdr:nvSpPr>
        <xdr:cNvPr id="2" name="Right Brace 1">
          <a:extLst>
            <a:ext uri="{FF2B5EF4-FFF2-40B4-BE49-F238E27FC236}">
              <a16:creationId xmlns:a16="http://schemas.microsoft.com/office/drawing/2014/main" id="{00000000-0008-0000-0600-000002000000}"/>
            </a:ext>
          </a:extLst>
        </xdr:cNvPr>
        <xdr:cNvSpPr/>
      </xdr:nvSpPr>
      <xdr:spPr>
        <a:xfrm>
          <a:off x="8886825" y="1695450"/>
          <a:ext cx="666750" cy="1714500"/>
        </a:xfrm>
        <a:prstGeom prst="rightBrace">
          <a:avLst/>
        </a:prstGeom>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6</xdr:col>
      <xdr:colOff>64350</xdr:colOff>
      <xdr:row>7</xdr:row>
      <xdr:rowOff>104475</xdr:rowOff>
    </xdr:from>
    <xdr:to>
      <xdr:col>7</xdr:col>
      <xdr:colOff>35775</xdr:colOff>
      <xdr:row>17</xdr:row>
      <xdr:rowOff>142575</xdr:rowOff>
    </xdr:to>
    <xdr:sp macro="" textlink="">
      <xdr:nvSpPr>
        <xdr:cNvPr id="3" name="Right Brace 2">
          <a:extLst>
            <a:ext uri="{FF2B5EF4-FFF2-40B4-BE49-F238E27FC236}">
              <a16:creationId xmlns:a16="http://schemas.microsoft.com/office/drawing/2014/main" id="{00000000-0008-0000-0600-000003000000}"/>
            </a:ext>
          </a:extLst>
        </xdr:cNvPr>
        <xdr:cNvSpPr/>
      </xdr:nvSpPr>
      <xdr:spPr>
        <a:xfrm>
          <a:off x="5276850" y="1840725"/>
          <a:ext cx="665175" cy="1950600"/>
        </a:xfrm>
        <a:prstGeom prst="rightBrace">
          <a:avLst/>
        </a:prstGeom>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7</xdr:col>
      <xdr:colOff>609600</xdr:colOff>
      <xdr:row>11</xdr:row>
      <xdr:rowOff>0</xdr:rowOff>
    </xdr:from>
    <xdr:to>
      <xdr:col>8</xdr:col>
      <xdr:colOff>685800</xdr:colOff>
      <xdr:row>16</xdr:row>
      <xdr:rowOff>104775</xdr:rowOff>
    </xdr:to>
    <xdr:cxnSp macro="">
      <xdr:nvCxnSpPr>
        <xdr:cNvPr id="5" name="Straight Arrow Connector 4">
          <a:extLst>
            <a:ext uri="{FF2B5EF4-FFF2-40B4-BE49-F238E27FC236}">
              <a16:creationId xmlns:a16="http://schemas.microsoft.com/office/drawing/2014/main" id="{00000000-0008-0000-0600-000005000000}"/>
            </a:ext>
          </a:extLst>
        </xdr:cNvPr>
        <xdr:cNvCxnSpPr/>
      </xdr:nvCxnSpPr>
      <xdr:spPr>
        <a:xfrm flipV="1">
          <a:off x="6496050" y="2457450"/>
          <a:ext cx="828675" cy="1057275"/>
        </a:xfrm>
        <a:prstGeom prst="straightConnector1">
          <a:avLst/>
        </a:prstGeom>
        <a:ln>
          <a:tailEnd type="arrow"/>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absolute">
    <xdr:from>
      <xdr:col>3</xdr:col>
      <xdr:colOff>566259</xdr:colOff>
      <xdr:row>1</xdr:row>
      <xdr:rowOff>0</xdr:rowOff>
    </xdr:from>
    <xdr:to>
      <xdr:col>9</xdr:col>
      <xdr:colOff>115661</xdr:colOff>
      <xdr:row>7</xdr:row>
      <xdr:rowOff>48578</xdr:rowOff>
    </xdr:to>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5260723" y="152400"/>
          <a:ext cx="3492752" cy="1515428"/>
        </a:xfrm>
        <a:prstGeom prst="rect">
          <a:avLst/>
        </a:prstGeom>
        <a:noFill/>
        <a:ln w="57150" cmpd="sng">
          <a:solidFill>
            <a:srgbClr val="44C8F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900" baseline="0">
            <a:solidFill>
              <a:sysClr val="windowText" lastClr="000000"/>
            </a:solidFill>
            <a:latin typeface="Gill Sans MT" pitchFamily="34" charset="0"/>
          </a:endParaRPr>
        </a:p>
        <a:p>
          <a:r>
            <a:rPr lang="en-US" sz="900" baseline="0">
              <a:solidFill>
                <a:sysClr val="windowText" lastClr="000000"/>
              </a:solidFill>
              <a:latin typeface="Gill Sans MT" pitchFamily="34" charset="0"/>
            </a:rPr>
            <a:t>This sheet will populate based on information in the year 1 Sales Forecast.</a:t>
          </a:r>
        </a:p>
        <a:p>
          <a:endParaRPr lang="en-US" sz="900" baseline="0">
            <a:solidFill>
              <a:sysClr val="windowText" lastClr="000000"/>
            </a:solidFill>
            <a:effectLst/>
            <a:latin typeface="Gill Sans MT" pitchFamily="34" charset="0"/>
          </a:endParaRPr>
        </a:p>
        <a:p>
          <a:r>
            <a:rPr lang="en-US" sz="900">
              <a:solidFill>
                <a:sysClr val="windowText" lastClr="000000"/>
              </a:solidFill>
              <a:effectLst/>
              <a:latin typeface="Gill Sans MT" pitchFamily="34" charset="0"/>
            </a:rPr>
            <a:t>The</a:t>
          </a:r>
          <a:r>
            <a:rPr lang="en-US" sz="900" baseline="0">
              <a:solidFill>
                <a:sysClr val="windowText" lastClr="000000"/>
              </a:solidFill>
              <a:effectLst/>
              <a:latin typeface="Gill Sans MT" pitchFamily="34" charset="0"/>
            </a:rPr>
            <a:t> included growth rate is just a starting point, if you can provide a more accurate prediction for each month, unlock the sheet (see Directions) and change the value for that month. Please note that you will no longer have a formula in that cell once you change the value, so you may want to save a copy of this spreadsheet under a different name before doing so. </a:t>
          </a:r>
          <a:endParaRPr lang="en-US" sz="900">
            <a:solidFill>
              <a:sysClr val="windowText" lastClr="000000"/>
            </a:solidFill>
            <a:effectLst/>
            <a:latin typeface="Gill Sans MT" pitchFamily="34" charset="0"/>
          </a:endParaRPr>
        </a:p>
        <a:p>
          <a:endParaRPr lang="en-US" sz="900">
            <a:solidFill>
              <a:sysClr val="windowText" lastClr="000000"/>
            </a:solidFill>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editAs="absolute">
    <xdr:from>
      <xdr:col>2</xdr:col>
      <xdr:colOff>323850</xdr:colOff>
      <xdr:row>1</xdr:row>
      <xdr:rowOff>121126</xdr:rowOff>
    </xdr:from>
    <xdr:to>
      <xdr:col>13</xdr:col>
      <xdr:colOff>361951</xdr:colOff>
      <xdr:row>4</xdr:row>
      <xdr:rowOff>28575</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4257675" y="292576"/>
          <a:ext cx="7972426" cy="574199"/>
        </a:xfrm>
        <a:prstGeom prst="rect">
          <a:avLst/>
        </a:prstGeom>
        <a:solidFill>
          <a:schemeClr val="bg1"/>
        </a:solidFill>
        <a:ln w="57150" cmpd="sng">
          <a:solidFill>
            <a:srgbClr val="44C8F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a:solidFill>
                <a:sysClr val="windowText" lastClr="000000"/>
              </a:solidFill>
              <a:latin typeface="Gill Sans MT" pitchFamily="34" charset="0"/>
            </a:rPr>
            <a:t>NOTE: To only</a:t>
          </a:r>
          <a:r>
            <a:rPr lang="en-US" sz="900" baseline="0">
              <a:solidFill>
                <a:sysClr val="windowText" lastClr="000000"/>
              </a:solidFill>
              <a:latin typeface="Gill Sans MT" pitchFamily="34" charset="0"/>
            </a:rPr>
            <a:t> view the annual total side-by-side, highlight columns C through N</a:t>
          </a:r>
        </a:p>
        <a:p>
          <a:r>
            <a:rPr lang="en-US" sz="900" baseline="0">
              <a:solidFill>
                <a:sysClr val="windowText" lastClr="000000"/>
              </a:solidFill>
              <a:latin typeface="Gill Sans MT" pitchFamily="34" charset="0"/>
            </a:rPr>
            <a:t> and right-click. Then select "Hide". Use the same procedure to Hide columns P through AA. </a:t>
          </a:r>
          <a:r>
            <a:rPr lang="en-US" sz="900" baseline="0">
              <a:solidFill>
                <a:sysClr val="windowText" lastClr="000000"/>
              </a:solidFill>
              <a:effectLst/>
              <a:latin typeface="Gill Sans MT" pitchFamily="34" charset="0"/>
              <a:ea typeface="+mn-ea"/>
              <a:cs typeface="+mn-cs"/>
            </a:rPr>
            <a:t>To show them again, highlight columns B, O and AB, right-click and select "Unhide". </a:t>
          </a:r>
          <a:endParaRPr lang="en-US" sz="900">
            <a:solidFill>
              <a:sysClr val="windowText" lastClr="000000"/>
            </a:solidFill>
            <a:latin typeface="Gill Sans MT" pitchFamily="34" charset="0"/>
          </a:endParaRPr>
        </a:p>
      </xdr:txBody>
    </xdr:sp>
    <xdr:clientData fPrintsWithSheet="0"/>
  </xdr:twoCellAnchor>
</xdr:wsDr>
</file>

<file path=xl/drawings/drawing8.xml><?xml version="1.0" encoding="utf-8"?>
<xdr:wsDr xmlns:xdr="http://schemas.openxmlformats.org/drawingml/2006/spreadsheetDrawing" xmlns:a="http://schemas.openxmlformats.org/drawingml/2006/main">
  <xdr:oneCellAnchor>
    <xdr:from>
      <xdr:col>3</xdr:col>
      <xdr:colOff>487137</xdr:colOff>
      <xdr:row>8</xdr:row>
      <xdr:rowOff>10002</xdr:rowOff>
    </xdr:from>
    <xdr:ext cx="3490503" cy="2961797"/>
    <xdr:sp macro="" textlink="">
      <xdr:nvSpPr>
        <xdr:cNvPr id="3" name="Text Box 2">
          <a:extLst>
            <a:ext uri="{FF2B5EF4-FFF2-40B4-BE49-F238E27FC236}">
              <a16:creationId xmlns:a16="http://schemas.microsoft.com/office/drawing/2014/main" id="{00000000-0008-0000-0E00-000003000000}"/>
            </a:ext>
          </a:extLst>
        </xdr:cNvPr>
        <xdr:cNvSpPr txBox="1">
          <a:spLocks noChangeAspect="1" noChangeArrowheads="1"/>
        </xdr:cNvSpPr>
      </xdr:nvSpPr>
      <xdr:spPr bwMode="auto">
        <a:xfrm>
          <a:off x="4975317" y="1419702"/>
          <a:ext cx="3490503" cy="2961797"/>
        </a:xfrm>
        <a:prstGeom prst="rect">
          <a:avLst/>
        </a:prstGeom>
        <a:noFill/>
        <a:ln w="57150">
          <a:solidFill>
            <a:srgbClr val="44C8F5"/>
          </a:solidFill>
          <a:miter lim="800000"/>
          <a:headEnd/>
          <a:tailEnd/>
        </a:ln>
      </xdr:spPr>
      <xdr:txBody>
        <a:bodyPr vertOverflow="clip" wrap="square" lIns="27432" tIns="22860" rIns="0" bIns="0" anchor="t" upright="1">
          <a:noAutofit/>
        </a:bodyPr>
        <a:lstStyle/>
        <a:p>
          <a:pPr algn="l" rtl="0">
            <a:defRPr sz="1000"/>
          </a:pPr>
          <a:r>
            <a:rPr lang="en-US" sz="900" b="1" i="0" u="none" strike="noStrike" baseline="0">
              <a:solidFill>
                <a:sysClr val="windowText" lastClr="000000"/>
              </a:solidFill>
              <a:latin typeface="Gill Sans MT" pitchFamily="34" charset="0"/>
              <a:cs typeface="Arial"/>
            </a:rPr>
            <a:t>Breakeven Sales Level</a:t>
          </a:r>
        </a:p>
        <a:p>
          <a:pPr algn="l" rtl="0">
            <a:defRPr sz="1000"/>
          </a:pPr>
          <a:endParaRPr lang="en-US" sz="900" b="1" i="0" u="sng" strike="noStrike" baseline="0">
            <a:solidFill>
              <a:sysClr val="windowText" lastClr="000000"/>
            </a:solidFill>
            <a:latin typeface="Gill Sans MT" pitchFamily="34" charset="0"/>
            <a:cs typeface="Arial"/>
          </a:endParaRPr>
        </a:p>
        <a:p>
          <a:pPr algn="l" rtl="0">
            <a:defRPr sz="1000"/>
          </a:pPr>
          <a:r>
            <a:rPr lang="en-US" sz="900" b="0" i="0" u="none" strike="noStrike" baseline="0">
              <a:solidFill>
                <a:sysClr val="windowText" lastClr="000000"/>
              </a:solidFill>
              <a:latin typeface="Gill Sans MT" pitchFamily="34" charset="0"/>
              <a:cs typeface="Arial"/>
            </a:rPr>
            <a:t>The breakeven sales level represents the number of units that must be sold in order to break even. This means that revenues are equal to expenses. Any units sold beyond this quantity will allow the company to generate net income.</a:t>
          </a:r>
          <a:endParaRPr lang="en-US" sz="900" b="1" i="0" u="sng" strike="noStrike" baseline="0">
            <a:solidFill>
              <a:sysClr val="windowText" lastClr="000000"/>
            </a:solidFill>
            <a:latin typeface="Gill Sans MT" pitchFamily="34" charset="0"/>
            <a:cs typeface="Arial"/>
          </a:endParaRPr>
        </a:p>
        <a:p>
          <a:pPr algn="l" rtl="0">
            <a:defRPr sz="1000"/>
          </a:pPr>
          <a:endParaRPr lang="en-US" sz="900" b="0" i="0" u="none" strike="noStrike" baseline="0">
            <a:solidFill>
              <a:sysClr val="windowText" lastClr="000000"/>
            </a:solidFill>
            <a:latin typeface="Gill Sans MT" pitchFamily="34" charset="0"/>
            <a:cs typeface="Arial"/>
          </a:endParaRPr>
        </a:p>
        <a:p>
          <a:pPr algn="l" rtl="0">
            <a:defRPr sz="1000"/>
          </a:pPr>
          <a:r>
            <a:rPr lang="en-US" sz="900" b="0" i="0" u="none" strike="noStrike" baseline="0">
              <a:solidFill>
                <a:sysClr val="windowText" lastClr="000000"/>
              </a:solidFill>
              <a:latin typeface="Gill Sans MT" pitchFamily="34" charset="0"/>
              <a:cs typeface="Arial"/>
            </a:rPr>
            <a:t>One of the best uses of breakeven analysis is to play with various scenarios. For instance, if you add another person to the payroll, how many extra sales dollars will be needed to recover the extra salary expense? If you borrow, how much will be needed to cover the increased principal and interest payments? Many owners, especially retailers, like to calculate a daily breakdown. This gives everyone a target to shoot at for the day.</a:t>
          </a:r>
        </a:p>
        <a:p>
          <a:pPr algn="l" rtl="0">
            <a:defRPr sz="1000"/>
          </a:pPr>
          <a:endParaRPr lang="en-US" sz="900" b="0" i="0" u="none" strike="noStrike" baseline="0">
            <a:solidFill>
              <a:sysClr val="windowText" lastClr="000000"/>
            </a:solidFill>
            <a:latin typeface="Gill Sans MT" pitchFamily="34" charset="0"/>
            <a:cs typeface="Arial"/>
          </a:endParaRPr>
        </a:p>
        <a:p>
          <a:pPr algn="l" rtl="0">
            <a:defRPr sz="1000"/>
          </a:pPr>
          <a:r>
            <a:rPr lang="en-US" sz="900" b="0" i="0" u="none" strike="noStrike" baseline="0">
              <a:solidFill>
                <a:sysClr val="windowText" lastClr="000000"/>
              </a:solidFill>
              <a:latin typeface="Gill Sans MT" pitchFamily="34" charset="0"/>
              <a:cs typeface="Arial"/>
            </a:rPr>
            <a:t>Equation:</a:t>
          </a:r>
        </a:p>
        <a:p>
          <a:pPr algn="l" rtl="0">
            <a:defRPr sz="1000"/>
          </a:pPr>
          <a:endParaRPr lang="en-US" sz="900" b="0" i="0" u="none" strike="noStrike" baseline="0">
            <a:solidFill>
              <a:sysClr val="windowText" lastClr="000000"/>
            </a:solidFill>
            <a:latin typeface="Gill Sans MT" pitchFamily="34" charset="0"/>
            <a:cs typeface="Arial"/>
          </a:endParaRPr>
        </a:p>
        <a:p>
          <a:pPr algn="l" rtl="0">
            <a:defRPr sz="1000"/>
          </a:pPr>
          <a:r>
            <a:rPr lang="en-US" sz="900" b="0" i="0" u="none" strike="noStrike" baseline="0">
              <a:solidFill>
                <a:sysClr val="windowText" lastClr="000000"/>
              </a:solidFill>
              <a:latin typeface="Gill Sans MT" pitchFamily="34" charset="0"/>
              <a:cs typeface="Arial"/>
            </a:rPr>
            <a:t>Breakeven Point = Total Fixed Costs/ (Gross Margin/Total Sales)</a:t>
          </a:r>
        </a:p>
        <a:p>
          <a:pPr algn="l" rtl="0">
            <a:defRPr sz="1000"/>
          </a:pPr>
          <a:endParaRPr lang="en-US" sz="900" b="0" i="0" u="none" strike="noStrike" baseline="0">
            <a:solidFill>
              <a:sysClr val="windowText" lastClr="000000"/>
            </a:solidFill>
            <a:latin typeface="Gill Sans MT" pitchFamily="34" charset="0"/>
            <a:cs typeface="Arial"/>
          </a:endParaRPr>
        </a:p>
        <a:p>
          <a:pPr algn="l" rtl="0">
            <a:defRPr sz="1000"/>
          </a:pPr>
          <a:endParaRPr lang="en-US" sz="900" b="0" i="0" u="none" strike="noStrike" baseline="0">
            <a:solidFill>
              <a:sysClr val="windowText" lastClr="000000"/>
            </a:solidFill>
            <a:latin typeface="Gill Sans MT" pitchFamily="34" charset="0"/>
            <a:cs typeface="Arial"/>
          </a:endParaRPr>
        </a:p>
        <a:p>
          <a:pPr algn="l" rtl="0">
            <a:defRPr sz="1000"/>
          </a:pPr>
          <a:endParaRPr lang="en-US" sz="900" b="0" i="0" u="none" strike="noStrike" baseline="0">
            <a:solidFill>
              <a:sysClr val="windowText" lastClr="000000"/>
            </a:solidFill>
            <a:latin typeface="Gill Sans MT" pitchFamily="34" charset="0"/>
            <a:cs typeface="Arial"/>
          </a:endParaRPr>
        </a:p>
        <a:p>
          <a:pPr algn="l" rtl="0">
            <a:defRPr sz="1000"/>
          </a:pPr>
          <a:endParaRPr lang="en-US" sz="900" b="0" i="0" u="none" strike="noStrike" baseline="0">
            <a:solidFill>
              <a:sysClr val="windowText" lastClr="000000"/>
            </a:solidFill>
            <a:latin typeface="Gill Sans MT" pitchFamily="34" charset="0"/>
            <a:cs typeface="Arial"/>
          </a:endParaRPr>
        </a:p>
      </xdr:txBody>
    </xdr:sp>
    <xdr:clientData fLocksWithSheet="0" fPrintsWithSheet="0"/>
  </xdr:oneCellAnchor>
</xdr:wsDr>
</file>

<file path=xl/drawings/drawing9.xml><?xml version="1.0" encoding="utf-8"?>
<xdr:wsDr xmlns:xdr="http://schemas.openxmlformats.org/drawingml/2006/spreadsheetDrawing" xmlns:a="http://schemas.openxmlformats.org/drawingml/2006/main">
  <xdr:oneCellAnchor>
    <xdr:from>
      <xdr:col>7</xdr:col>
      <xdr:colOff>69638</xdr:colOff>
      <xdr:row>5</xdr:row>
      <xdr:rowOff>82760</xdr:rowOff>
    </xdr:from>
    <xdr:ext cx="2544022" cy="2180380"/>
    <xdr:sp macro="" textlink="">
      <xdr:nvSpPr>
        <xdr:cNvPr id="2" name="TextBox 1">
          <a:extLst>
            <a:ext uri="{FF2B5EF4-FFF2-40B4-BE49-F238E27FC236}">
              <a16:creationId xmlns:a16="http://schemas.microsoft.com/office/drawing/2014/main" id="{00000000-0008-0000-0F00-000002000000}"/>
            </a:ext>
          </a:extLst>
        </xdr:cNvPr>
        <xdr:cNvSpPr txBox="1">
          <a:spLocks noChangeAspect="1"/>
        </xdr:cNvSpPr>
      </xdr:nvSpPr>
      <xdr:spPr>
        <a:xfrm>
          <a:off x="8428778" y="959060"/>
          <a:ext cx="2544022" cy="2180380"/>
        </a:xfrm>
        <a:prstGeom prst="rect">
          <a:avLst/>
        </a:prstGeom>
        <a:noFill/>
        <a:ln w="57150" cmpd="sng">
          <a:solidFill>
            <a:srgbClr val="44C8F5"/>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r>
            <a:rPr lang="en-US" sz="900" b="0" i="0" u="none" strike="noStrike">
              <a:solidFill>
                <a:sysClr val="windowText" lastClr="000000"/>
              </a:solidFill>
              <a:effectLst/>
              <a:latin typeface="Gill Sans MT" pitchFamily="34" charset="0"/>
              <a:ea typeface="+mn-ea"/>
              <a:cs typeface="+mn-cs"/>
            </a:rPr>
            <a:t>This sheet shows some common financial ratios.</a:t>
          </a:r>
          <a:r>
            <a:rPr lang="en-US" sz="900" b="0" i="0" u="none" strike="noStrike" baseline="0">
              <a:solidFill>
                <a:sysClr val="windowText" lastClr="000000"/>
              </a:solidFill>
              <a:effectLst/>
              <a:latin typeface="Gill Sans MT" pitchFamily="34" charset="0"/>
              <a:ea typeface="+mn-ea"/>
              <a:cs typeface="+mn-cs"/>
            </a:rPr>
            <a:t> There is a column where you can enter industry norms. To get these, contact your local library or bank to see if they have copies of the Risk Management Association (RMA) Annual Statement or refer to industry publications and trade magazines. Speak with your mentor to ensure you are using the appropriate resources. </a:t>
          </a:r>
          <a:endParaRPr lang="en-US" sz="900" b="0">
            <a:solidFill>
              <a:sysClr val="windowText" lastClr="000000"/>
            </a:solidFill>
            <a:latin typeface="Gill Sans MT" pitchFamily="34" charset="0"/>
          </a:endParaRPr>
        </a:p>
      </xdr:txBody>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rems/Desktop/2020%20Crisis%20Period%206%20Month%20Forecast%20and%20Budget%20-%20Version%20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jolizmo.sharepoint.com/sites/scorebackup/Shared%20Documents/SCORE-George1112-2/Business%20Plans/John%20A%20Version%20Score%20Financial%20Projection%20Workbook%20July%20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ecasting Tool"/>
      <sheetName val="6 month Budget"/>
      <sheetName val="5b-OpExYrs1-3"/>
      <sheetName val="4-AdditionalInputs"/>
      <sheetName val="Instructions"/>
      <sheetName val="1-StartingPoint"/>
      <sheetName val="7b-IncomeStatementYrs1-3"/>
      <sheetName val="3b-SalesForecastYrs1-3"/>
      <sheetName val="6a-CashFlowYear1"/>
      <sheetName val="9 month Budget"/>
      <sheetName val="Directions"/>
      <sheetName val="2a-PayrollYear1"/>
      <sheetName val="2b-PayrollYrs1-3"/>
      <sheetName val="Tuition Forecast"/>
      <sheetName val="5a-OpExYear1"/>
      <sheetName val="6b-CashFlowYrs1-3"/>
      <sheetName val="7a-IncomeStatementYear1"/>
      <sheetName val="8-BalanceSheet"/>
      <sheetName val="BreakevenAnalysis"/>
      <sheetName val="FinancialRatios"/>
      <sheetName val="DiagnosticTools"/>
      <sheetName val="Pay Calculator"/>
      <sheetName val="Amortization&amp;Depreciation"/>
    </sheetNames>
    <sheetDataSet>
      <sheetData sheetId="0" refreshError="1"/>
      <sheetData sheetId="1" refreshError="1">
        <row r="8">
          <cell r="B8" t="str">
            <v>2-3 Year olds</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rections"/>
      <sheetName val="4-AdditionalInputs"/>
      <sheetName val="2a-PayrollYear1"/>
      <sheetName val="2b-PayrollYrs1-3"/>
      <sheetName val="3a-SalesForecastYear1"/>
      <sheetName val="3b-SalesForecastYrs1-3"/>
      <sheetName val="5a-OpExYear1"/>
      <sheetName val="5b-OpExYrs1-3"/>
      <sheetName val="6a-CashFlowYear1"/>
      <sheetName val="6b-CashFlowYrs1-3"/>
      <sheetName val="7a-IncomeStatementYear1"/>
      <sheetName val="7b-IncomeStatementYrs1-3"/>
      <sheetName val="8-BalanceSheet"/>
      <sheetName val="BreakevenAnalysis"/>
      <sheetName val="FinancialRatios"/>
      <sheetName val="DiagnosticTools"/>
      <sheetName val="COGS Calculator"/>
      <sheetName val="Amortization&amp;Depreciation"/>
    </sheetNames>
    <sheetDataSet>
      <sheetData sheetId="0">
        <row r="6">
          <cell r="C6"/>
          <cell r="D6"/>
        </row>
      </sheetData>
      <sheetData sheetId="1"/>
      <sheetData sheetId="2"/>
      <sheetData sheetId="3"/>
      <sheetData sheetId="4">
        <row r="9">
          <cell r="C9" t="str">
            <v xml:space="preserve"> </v>
          </cell>
        </row>
        <row r="10">
          <cell r="C10" t="str">
            <v xml:space="preserve"> </v>
          </cell>
        </row>
        <row r="11">
          <cell r="C11"/>
        </row>
        <row r="12">
          <cell r="C12"/>
        </row>
        <row r="13">
          <cell r="C13"/>
        </row>
        <row r="14">
          <cell r="C14"/>
        </row>
        <row r="15">
          <cell r="C15"/>
        </row>
        <row r="16">
          <cell r="C16"/>
        </row>
        <row r="17">
          <cell r="C17"/>
        </row>
        <row r="18">
          <cell r="C18"/>
        </row>
        <row r="22">
          <cell r="O22">
            <v>0</v>
          </cell>
        </row>
        <row r="23">
          <cell r="O23">
            <v>0</v>
          </cell>
        </row>
        <row r="28">
          <cell r="O28">
            <v>0</v>
          </cell>
        </row>
        <row r="29">
          <cell r="O29">
            <v>0</v>
          </cell>
        </row>
        <row r="34">
          <cell r="O34">
            <v>0</v>
          </cell>
        </row>
        <row r="35">
          <cell r="O35">
            <v>0</v>
          </cell>
        </row>
        <row r="40">
          <cell r="O40">
            <v>0</v>
          </cell>
        </row>
        <row r="41">
          <cell r="O41">
            <v>0</v>
          </cell>
        </row>
        <row r="46">
          <cell r="O46">
            <v>0</v>
          </cell>
        </row>
        <row r="47">
          <cell r="O47">
            <v>0</v>
          </cell>
        </row>
        <row r="52">
          <cell r="O52">
            <v>0</v>
          </cell>
        </row>
        <row r="53">
          <cell r="O53">
            <v>0</v>
          </cell>
        </row>
        <row r="58">
          <cell r="O58">
            <v>0</v>
          </cell>
        </row>
        <row r="59">
          <cell r="O59">
            <v>0</v>
          </cell>
        </row>
        <row r="64">
          <cell r="O64">
            <v>0</v>
          </cell>
        </row>
        <row r="65">
          <cell r="O65">
            <v>0</v>
          </cell>
        </row>
        <row r="70">
          <cell r="O70">
            <v>0</v>
          </cell>
        </row>
        <row r="71">
          <cell r="O71">
            <v>0</v>
          </cell>
        </row>
        <row r="76">
          <cell r="O76">
            <v>0</v>
          </cell>
        </row>
        <row r="77">
          <cell r="O77">
            <v>0</v>
          </cell>
        </row>
        <row r="81">
          <cell r="O81">
            <v>0</v>
          </cell>
        </row>
        <row r="82">
          <cell r="O82">
            <v>0</v>
          </cell>
        </row>
        <row r="83">
          <cell r="O83">
            <v>0</v>
          </cell>
        </row>
        <row r="84">
          <cell r="O84">
            <v>0</v>
          </cell>
        </row>
      </sheetData>
      <sheetData sheetId="5"/>
      <sheetData sheetId="6"/>
      <sheetData sheetId="7"/>
      <sheetData sheetId="8">
        <row r="33">
          <cell r="N33">
            <v>0</v>
          </cell>
        </row>
      </sheetData>
      <sheetData sheetId="9"/>
      <sheetData sheetId="10"/>
      <sheetData sheetId="11">
        <row r="67">
          <cell r="C67">
            <v>-29777.487780058895</v>
          </cell>
          <cell r="E67">
            <v>-28845.713800106714</v>
          </cell>
          <cell r="G67">
            <v>-29115.40162089112</v>
          </cell>
        </row>
      </sheetData>
      <sheetData sheetId="12"/>
      <sheetData sheetId="13"/>
      <sheetData sheetId="14"/>
      <sheetData sheetId="15"/>
      <sheetData sheetId="16"/>
      <sheetData sheetId="17"/>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SCORE">
      <a:dk1>
        <a:sysClr val="windowText" lastClr="000000"/>
      </a:dk1>
      <a:lt1>
        <a:sysClr val="window" lastClr="FFFFFF"/>
      </a:lt1>
      <a:dk2>
        <a:srgbClr val="006EB7"/>
      </a:dk2>
      <a:lt2>
        <a:srgbClr val="30A1FF"/>
      </a:lt2>
      <a:accent1>
        <a:srgbClr val="6A9F42"/>
      </a:accent1>
      <a:accent2>
        <a:srgbClr val="FFD200"/>
      </a:accent2>
      <a:accent3>
        <a:srgbClr val="265288"/>
      </a:accent3>
      <a:accent4>
        <a:srgbClr val="423616"/>
      </a:accent4>
      <a:accent5>
        <a:srgbClr val="464648"/>
      </a:accent5>
      <a:accent6>
        <a:srgbClr val="BCD2E6"/>
      </a:accent6>
      <a:hlink>
        <a:srgbClr val="30A1FF"/>
      </a:hlink>
      <a:folHlink>
        <a:srgbClr val="26528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7.vml"/></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drawing" Target="../drawings/drawing7.xml"/></Relationships>
</file>

<file path=xl/worksheets/_rels/sheet14.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9.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10.v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1.vml"/><Relationship Id="rId1" Type="http://schemas.openxmlformats.org/officeDocument/2006/relationships/drawing" Target="../drawings/drawing9.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2.vml"/><Relationship Id="rId1" Type="http://schemas.openxmlformats.org/officeDocument/2006/relationships/printerSettings" Target="../printerSettings/printerSettings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2.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3.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89E53"/>
    <pageSetUpPr fitToPage="1"/>
  </sheetPr>
  <dimension ref="A1:P43"/>
  <sheetViews>
    <sheetView showGridLines="0" workbookViewId="0">
      <selection activeCell="H42" sqref="H42"/>
    </sheetView>
  </sheetViews>
  <sheetFormatPr baseColWidth="10" defaultColWidth="8.83203125" defaultRowHeight="15" x14ac:dyDescent="0.2"/>
  <cols>
    <col min="1" max="1" width="5.33203125" style="1" customWidth="1"/>
    <col min="2" max="2" width="11" style="1" customWidth="1"/>
    <col min="3" max="3" width="28" style="1" customWidth="1"/>
    <col min="4" max="4" width="21.6640625" style="1" bestFit="1" customWidth="1"/>
    <col min="5" max="5" width="17.33203125" style="1" bestFit="1" customWidth="1"/>
    <col min="6" max="6" width="15.5" style="1" bestFit="1" customWidth="1"/>
    <col min="7" max="7" width="8.83203125" style="1"/>
    <col min="8" max="8" width="9.6640625" style="1" bestFit="1" customWidth="1"/>
    <col min="9" max="11" width="8.83203125" style="1"/>
    <col min="12" max="12" width="19.1640625" style="1" customWidth="1"/>
    <col min="13" max="13" width="13.5" style="1" bestFit="1" customWidth="1"/>
    <col min="14" max="16384" width="8.83203125" style="1"/>
  </cols>
  <sheetData>
    <row r="1" spans="2:14" x14ac:dyDescent="0.2">
      <c r="B1" s="23"/>
      <c r="C1" s="23"/>
      <c r="D1" s="23"/>
      <c r="E1" s="23"/>
      <c r="F1" s="23"/>
      <c r="G1" s="23"/>
      <c r="H1" s="23"/>
      <c r="I1" s="23"/>
      <c r="J1" s="23"/>
      <c r="K1" s="23"/>
      <c r="L1" s="23"/>
      <c r="M1" s="23"/>
      <c r="N1" s="23"/>
    </row>
    <row r="2" spans="2:14" x14ac:dyDescent="0.2">
      <c r="B2" s="23"/>
      <c r="C2" s="23"/>
      <c r="D2" s="23"/>
      <c r="E2" s="23"/>
      <c r="F2" s="23"/>
      <c r="G2" s="23"/>
      <c r="H2" s="23"/>
      <c r="I2" s="23"/>
      <c r="J2" s="23"/>
      <c r="K2" s="23"/>
      <c r="L2" s="23"/>
      <c r="M2" s="23"/>
      <c r="N2" s="23"/>
    </row>
    <row r="3" spans="2:14" x14ac:dyDescent="0.2">
      <c r="B3" s="682" t="s">
        <v>130</v>
      </c>
      <c r="C3" s="682"/>
      <c r="D3" s="682"/>
      <c r="E3" s="682"/>
      <c r="F3" s="682"/>
    </row>
    <row r="4" spans="2:14" x14ac:dyDescent="0.2">
      <c r="B4" s="3"/>
      <c r="M4" s="4"/>
    </row>
    <row r="5" spans="2:14" ht="17" thickBot="1" x14ac:dyDescent="0.25">
      <c r="B5" s="3"/>
      <c r="C5" s="324" t="s">
        <v>85</v>
      </c>
      <c r="D5" s="324" t="s">
        <v>0</v>
      </c>
      <c r="E5" s="324" t="s">
        <v>196</v>
      </c>
      <c r="F5" s="324" t="s">
        <v>195</v>
      </c>
      <c r="M5" s="4"/>
    </row>
    <row r="6" spans="2:14" ht="16" thickTop="1" x14ac:dyDescent="0.2">
      <c r="B6" s="3"/>
      <c r="C6" s="302"/>
      <c r="D6" s="302"/>
      <c r="E6" s="302"/>
      <c r="F6" s="302"/>
      <c r="M6" s="4"/>
    </row>
    <row r="8" spans="2:14" x14ac:dyDescent="0.2">
      <c r="B8" s="682" t="s">
        <v>20</v>
      </c>
      <c r="C8" s="682"/>
      <c r="D8" s="682"/>
      <c r="E8" s="682"/>
      <c r="I8"/>
    </row>
    <row r="29" spans="1:16" x14ac:dyDescent="0.2">
      <c r="L29" s="433"/>
      <c r="M29" s="433"/>
      <c r="N29" s="433"/>
      <c r="O29" s="433"/>
      <c r="P29" s="433"/>
    </row>
    <row r="30" spans="1:16" x14ac:dyDescent="0.2">
      <c r="L30" s="433"/>
      <c r="M30" s="433"/>
      <c r="N30" s="433"/>
      <c r="O30" s="433"/>
      <c r="P30" s="433"/>
    </row>
    <row r="31" spans="1:16" x14ac:dyDescent="0.2">
      <c r="L31" s="433"/>
      <c r="M31" s="433"/>
      <c r="N31" s="433"/>
      <c r="O31" s="433"/>
      <c r="P31" s="433"/>
    </row>
    <row r="32" spans="1:16" x14ac:dyDescent="0.2">
      <c r="A32" s="411"/>
      <c r="B32" s="412"/>
      <c r="C32" s="414">
        <f>IF(ISBLANK(E6),-10000,MONTH(DATEVALUE(E6&amp;" 1")))</f>
        <v>-10000</v>
      </c>
      <c r="D32" s="412"/>
      <c r="E32" s="412"/>
      <c r="F32" s="412"/>
      <c r="G32" s="412"/>
      <c r="H32" s="412"/>
      <c r="I32" s="412"/>
      <c r="J32" s="412"/>
      <c r="K32" s="412"/>
      <c r="L32" s="412"/>
      <c r="M32" s="412"/>
      <c r="N32" s="433"/>
      <c r="O32" s="433"/>
      <c r="P32" s="433"/>
    </row>
    <row r="33" spans="1:16" x14ac:dyDescent="0.2">
      <c r="A33" s="411"/>
      <c r="B33" s="412"/>
      <c r="C33" s="414"/>
      <c r="D33" s="412"/>
      <c r="E33" s="412"/>
      <c r="F33" s="412"/>
      <c r="G33" s="412"/>
      <c r="H33" s="412"/>
      <c r="I33" s="412"/>
      <c r="J33" s="412"/>
      <c r="K33" s="412"/>
      <c r="L33" s="412"/>
      <c r="M33" s="412"/>
      <c r="N33" s="433"/>
      <c r="O33" s="433"/>
      <c r="P33" s="433"/>
    </row>
    <row r="34" spans="1:16" x14ac:dyDescent="0.2">
      <c r="A34" s="411"/>
      <c r="B34" s="412" t="str">
        <f>IF(Directions!$C$32&gt;0,CHOOSE(Directions!$C$32,"January","February","March","April","May","June","July","August","September","October","November","December"),"Month 1")</f>
        <v>Month 1</v>
      </c>
      <c r="C34" s="414" t="str">
        <f>IF(Directions!$C$32+1&gt;12,CHOOSE(Directions!$C$32+1-12,"January","February","March","April","May","June","July","August","September","October","November","December"),IF(Directions!$C$32&lt;0,"Month 2",(CHOOSE(Directions!$C$32+1,"January","February","March","April","May","June","July","August","September","October","November","December"))))</f>
        <v>Month 2</v>
      </c>
      <c r="D34" s="414" t="str">
        <f>IF(Directions!$C$32+2&gt;12,CHOOSE(Directions!$C$32+2-12,"January","February","March","April","May","June","July","August","September","October","November","December"),IF(Directions!$C$32&lt;0,"Month 3",CHOOSE(Directions!$C$32+2,"January","February","March","April","May","June","July","August","September","October","November","December")))</f>
        <v>Month 3</v>
      </c>
      <c r="E34" s="414" t="str">
        <f>IF(Directions!$C$32+3&gt;12,CHOOSE(Directions!$C$32+3-12,"January","February","March","April","May","June","July","August","September","October","November","December"),IF(Directions!$C$32&lt;0,"Month 4",CHOOSE(Directions!$C$32+3,"January","February","March","April","May","June","July","August","September","October","November","December")))</f>
        <v>Month 4</v>
      </c>
      <c r="F34" s="414" t="str">
        <f>IF(Directions!$C$32+4&gt;12,CHOOSE(Directions!$C$32+4-12,"January","February","March","April","May","June","July","August","September","October","November","December"),IF(Directions!$C$32&lt;0,"Month 5",CHOOSE(Directions!$C$32+4,"January","February","March","April","May","June","July","August","September","October","November","December")))</f>
        <v>Month 5</v>
      </c>
      <c r="G34" s="414" t="str">
        <f>IF(Directions!$C$32+5&gt;12,CHOOSE(Directions!$C$32+5-12,"January","February","March","April","May","June","July","August","September","October","November","December"),IF(Directions!$C$32&lt;0,"Month 6",CHOOSE(Directions!$C$32+5,"January","February","March","April","May","June","July","August","September","October","November","December")))</f>
        <v>Month 6</v>
      </c>
      <c r="H34" s="414" t="str">
        <f>IF(Directions!$C$32+6&gt;12,CHOOSE(Directions!$C$32+6-12,"January","February","March","April","May","June","July","August","September","October","November","December"),IF(Directions!$C$32&lt;0,"Month 7",CHOOSE(Directions!$C$32+6,"January","February","March","April","May","June","July","August","September","October","November","December")))</f>
        <v>Month 7</v>
      </c>
      <c r="I34" s="414" t="str">
        <f>IF(Directions!$C$32+7&gt;12,CHOOSE(Directions!$C$32+7-12,"January","February","March","April","May","June","July","August","September","October","November","December"),IF(Directions!$C$32&lt;0,"Month 8",CHOOSE(Directions!$C$32+7,"January","February","March","April","May","June","July","August","September","October","November","December")))</f>
        <v>Month 8</v>
      </c>
      <c r="J34" s="414" t="str">
        <f>IF(Directions!$C$32+8&gt;12,CHOOSE(Directions!$C$32+8-12,"January","February","March","April","May","June","July","August","September","October","November","December"),IF(Directions!$C$32&lt;0,"Month 9",CHOOSE(Directions!$C$32+8,"January","February","March","April","May","June","July","August","September","October","November","December")))</f>
        <v>Month 9</v>
      </c>
      <c r="K34" s="414" t="str">
        <f>IF(Directions!$C$32+9&gt;12,CHOOSE(Directions!$C$32+9-12,"January","February","March","April","May","June","July","August","September","October","November","December"),IF(Directions!$C$32&lt;0,"Month 10",CHOOSE(Directions!$C$32+9,"January","February","March","April","May","June","July","August","September","October","November","December")))</f>
        <v>Month 10</v>
      </c>
      <c r="L34" s="414" t="str">
        <f>IF(Directions!$C$32+10&gt;12,CHOOSE(Directions!$C$32+10-12,"January","February","March","April","May","June","July","August","September","October","November","December"),IF(Directions!$C$32&lt;0,"Month 11",CHOOSE(Directions!$C$32+10,"January","February","March","April","May","June","July","August","September","October","November","December")))</f>
        <v>Month 11</v>
      </c>
      <c r="M34" s="414" t="str">
        <f>IF(Directions!$C$32+11&gt;12,CHOOSE(Directions!$C$32+11-12,"January","February","March","April","May","June","July","August","September","October","November","December"),IF(Directions!$C$32&lt;0,"Month 12",CHOOSE(Directions!$C$32+11,"January","February","March","April","May","June","July","August","September","October","November","December")))</f>
        <v>Month 12</v>
      </c>
      <c r="N34" s="433"/>
      <c r="O34" s="433"/>
      <c r="P34" s="433"/>
    </row>
    <row r="35" spans="1:16" x14ac:dyDescent="0.2">
      <c r="A35" s="411"/>
      <c r="B35" s="411"/>
      <c r="C35" s="414"/>
      <c r="D35" s="411"/>
      <c r="E35" s="411"/>
      <c r="F35" s="411"/>
      <c r="G35" s="411"/>
      <c r="H35" s="411"/>
      <c r="I35" s="411"/>
      <c r="J35" s="411"/>
      <c r="K35" s="411"/>
      <c r="L35" s="411"/>
      <c r="M35" s="411"/>
      <c r="N35" s="433"/>
      <c r="O35" s="433"/>
      <c r="P35" s="433"/>
    </row>
    <row r="36" spans="1:16" x14ac:dyDescent="0.2">
      <c r="A36" s="411"/>
      <c r="B36" s="411"/>
      <c r="C36" s="411"/>
      <c r="D36" s="411"/>
      <c r="E36" s="411"/>
      <c r="F36" s="411"/>
      <c r="G36" s="411"/>
      <c r="H36" s="411"/>
      <c r="I36" s="411"/>
      <c r="J36" s="411"/>
      <c r="K36" s="411"/>
      <c r="L36" s="411"/>
      <c r="M36" s="411"/>
      <c r="N36" s="433"/>
      <c r="O36" s="433"/>
      <c r="P36" s="433"/>
    </row>
    <row r="37" spans="1:16" x14ac:dyDescent="0.2">
      <c r="B37" s="433"/>
      <c r="C37" s="433"/>
      <c r="D37" s="433"/>
      <c r="E37" s="433"/>
      <c r="F37" s="433"/>
      <c r="G37" s="433"/>
      <c r="H37" s="433"/>
      <c r="I37" s="433"/>
      <c r="J37" s="433"/>
      <c r="K37" s="433"/>
      <c r="L37" s="433"/>
      <c r="M37" s="433"/>
      <c r="N37" s="433"/>
      <c r="O37" s="433"/>
      <c r="P37" s="433"/>
    </row>
    <row r="38" spans="1:16" x14ac:dyDescent="0.2">
      <c r="L38" s="433"/>
      <c r="M38" s="433"/>
      <c r="N38" s="433"/>
      <c r="O38" s="433"/>
      <c r="P38" s="433"/>
    </row>
    <row r="40" spans="1:16" x14ac:dyDescent="0.2">
      <c r="E40" s="2"/>
    </row>
    <row r="41" spans="1:16" x14ac:dyDescent="0.2">
      <c r="B41" s="682"/>
      <c r="C41" s="682"/>
      <c r="D41" s="682"/>
    </row>
    <row r="43" spans="1:16" x14ac:dyDescent="0.2">
      <c r="B43" s="2"/>
      <c r="C43" s="2"/>
      <c r="D43" s="2"/>
    </row>
  </sheetData>
  <sheetProtection password="CC3D" sheet="1" objects="1" scenarios="1" formatColumns="0" formatRows="0"/>
  <mergeCells count="3">
    <mergeCell ref="B8:E8"/>
    <mergeCell ref="B41:D41"/>
    <mergeCell ref="B3:F3"/>
  </mergeCells>
  <phoneticPr fontId="3" type="noConversion"/>
  <conditionalFormatting sqref="C6:F6">
    <cfRule type="containsBlanks" dxfId="122" priority="7">
      <formula>LEN(TRIM(C6))=0</formula>
    </cfRule>
  </conditionalFormatting>
  <printOptions horizontalCentered="1"/>
  <pageMargins left="0.25" right="0.25" top="0.75" bottom="0.75" header="0.3" footer="0.3"/>
  <pageSetup scale="69" orientation="landscape"/>
  <headerFooter scaleWithDoc="0">
    <oddHeader>&amp;L&amp;9&amp;G&amp;R&amp;G</oddHeader>
  </headerFooter>
  <drawing r:id="rId1"/>
  <legacyDrawingHF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rgb="FFFFC95B"/>
    <pageSetUpPr fitToPage="1"/>
  </sheetPr>
  <dimension ref="A2:R38"/>
  <sheetViews>
    <sheetView workbookViewId="0">
      <selection activeCell="C10" sqref="C10:N24"/>
    </sheetView>
  </sheetViews>
  <sheetFormatPr baseColWidth="10" defaultColWidth="8.83203125" defaultRowHeight="12" x14ac:dyDescent="0.15"/>
  <cols>
    <col min="1" max="1" width="8.83203125" style="43"/>
    <col min="2" max="2" width="46.6640625" style="43" bestFit="1" customWidth="1"/>
    <col min="3" max="13" width="9.6640625" style="43" customWidth="1"/>
    <col min="14" max="14" width="11.33203125" style="43" bestFit="1" customWidth="1"/>
    <col min="15" max="15" width="15.33203125" style="43" bestFit="1" customWidth="1"/>
    <col min="16" max="17" width="8.83203125" style="43"/>
    <col min="18" max="18" width="14.83203125" style="43" bestFit="1" customWidth="1"/>
    <col min="19" max="16384" width="8.83203125" style="43"/>
  </cols>
  <sheetData>
    <row r="2" spans="1:15" x14ac:dyDescent="0.15">
      <c r="A2" s="137"/>
      <c r="B2" s="55" t="s">
        <v>309</v>
      </c>
      <c r="C2" s="53"/>
      <c r="D2" s="138"/>
    </row>
    <row r="3" spans="1:15" ht="18" customHeight="1" x14ac:dyDescent="0.15">
      <c r="A3" s="137"/>
      <c r="B3" s="53"/>
      <c r="C3" s="53"/>
      <c r="D3" s="138"/>
    </row>
    <row r="4" spans="1:15" x14ac:dyDescent="0.15">
      <c r="A4" s="137"/>
      <c r="B4" s="139" t="s">
        <v>119</v>
      </c>
      <c r="C4" s="727" t="s">
        <v>120</v>
      </c>
      <c r="D4" s="727"/>
      <c r="N4" s="140"/>
    </row>
    <row r="5" spans="1:15" x14ac:dyDescent="0.15">
      <c r="A5" s="137"/>
      <c r="B5" s="43" t="str">
        <f>IF(ISBLANK(Directions!C6), "Owner", Directions!C6)</f>
        <v>Owner</v>
      </c>
      <c r="C5" s="43" t="str">
        <f>IF(ISBLANK(Directions!D6), "Company 1", Directions!D6)</f>
        <v>Company 1</v>
      </c>
      <c r="E5" s="97"/>
      <c r="N5" s="140"/>
    </row>
    <row r="6" spans="1:15" x14ac:dyDescent="0.15">
      <c r="A6" s="137"/>
    </row>
    <row r="7" spans="1:15" x14ac:dyDescent="0.15">
      <c r="A7" s="137"/>
      <c r="D7" s="721"/>
      <c r="E7" s="721"/>
      <c r="F7" s="721"/>
      <c r="G7" s="721"/>
      <c r="H7" s="721"/>
      <c r="I7" s="721"/>
      <c r="J7" s="721"/>
      <c r="K7" s="721"/>
      <c r="L7" s="721"/>
      <c r="M7" s="721"/>
      <c r="N7" s="721"/>
      <c r="O7" s="721"/>
    </row>
    <row r="8" spans="1:15" ht="14" thickBot="1" x14ac:dyDescent="0.2">
      <c r="A8" s="137"/>
      <c r="B8" s="141"/>
      <c r="C8" s="326" t="str">
        <f>'2a-PayrollYear1'!F7</f>
        <v>Month 1</v>
      </c>
      <c r="D8" s="326" t="str">
        <f>'2a-PayrollYear1'!G7</f>
        <v>Month 2</v>
      </c>
      <c r="E8" s="326" t="str">
        <f>'2a-PayrollYear1'!H7</f>
        <v>Month 3</v>
      </c>
      <c r="F8" s="326" t="str">
        <f>'2a-PayrollYear1'!I7</f>
        <v>Month 4</v>
      </c>
      <c r="G8" s="326" t="str">
        <f>'2a-PayrollYear1'!J7</f>
        <v>Month 5</v>
      </c>
      <c r="H8" s="326" t="str">
        <f>'2a-PayrollYear1'!K7</f>
        <v>Month 6</v>
      </c>
      <c r="I8" s="326" t="str">
        <f>'2a-PayrollYear1'!L7</f>
        <v>Month 7</v>
      </c>
      <c r="J8" s="326" t="str">
        <f>'2a-PayrollYear1'!M7</f>
        <v>Month 8</v>
      </c>
      <c r="K8" s="326" t="str">
        <f>'2a-PayrollYear1'!N7</f>
        <v>Month 9</v>
      </c>
      <c r="L8" s="326" t="str">
        <f>'2a-PayrollYear1'!O7</f>
        <v>Month 10</v>
      </c>
      <c r="M8" s="326" t="str">
        <f>'2a-PayrollYear1'!P7</f>
        <v>Month 11</v>
      </c>
      <c r="N8" s="326" t="str">
        <f>'2a-PayrollYear1'!Q7</f>
        <v>Month 12</v>
      </c>
      <c r="O8" s="326" t="s">
        <v>81</v>
      </c>
    </row>
    <row r="9" spans="1:15" ht="13" thickTop="1" x14ac:dyDescent="0.15">
      <c r="A9" s="137"/>
      <c r="B9" s="142" t="s">
        <v>164</v>
      </c>
      <c r="C9" s="143"/>
      <c r="D9" s="143"/>
      <c r="E9" s="143"/>
      <c r="F9" s="143"/>
      <c r="G9" s="143"/>
      <c r="H9" s="143"/>
      <c r="I9" s="143"/>
      <c r="J9" s="143"/>
      <c r="K9" s="143"/>
      <c r="L9" s="143"/>
      <c r="M9" s="143"/>
      <c r="N9" s="143"/>
      <c r="O9" s="144"/>
    </row>
    <row r="10" spans="1:15" x14ac:dyDescent="0.15">
      <c r="A10" s="137"/>
      <c r="B10" s="145" t="s">
        <v>14</v>
      </c>
      <c r="C10" s="146"/>
      <c r="D10" s="146"/>
      <c r="E10" s="146"/>
      <c r="F10" s="146"/>
      <c r="G10" s="146"/>
      <c r="H10" s="146"/>
      <c r="I10" s="146"/>
      <c r="J10" s="146"/>
      <c r="K10" s="146"/>
      <c r="L10" s="146"/>
      <c r="M10" s="146"/>
      <c r="N10" s="146"/>
      <c r="O10" s="57">
        <f t="shared" ref="O10:O25" si="0">SUM(C10:N10)</f>
        <v>0</v>
      </c>
    </row>
    <row r="11" spans="1:15" x14ac:dyDescent="0.15">
      <c r="A11" s="137"/>
      <c r="B11" s="145" t="s">
        <v>136</v>
      </c>
      <c r="C11" s="146"/>
      <c r="D11" s="146"/>
      <c r="E11" s="146"/>
      <c r="F11" s="146"/>
      <c r="G11" s="146"/>
      <c r="H11" s="146"/>
      <c r="I11" s="146"/>
      <c r="J11" s="146"/>
      <c r="K11" s="146"/>
      <c r="L11" s="146"/>
      <c r="M11" s="146"/>
      <c r="N11" s="146"/>
      <c r="O11" s="57">
        <f t="shared" si="0"/>
        <v>0</v>
      </c>
    </row>
    <row r="12" spans="1:15" x14ac:dyDescent="0.15">
      <c r="A12" s="137"/>
      <c r="B12" s="145" t="s">
        <v>137</v>
      </c>
      <c r="C12" s="146"/>
      <c r="D12" s="146"/>
      <c r="E12" s="146"/>
      <c r="F12" s="146"/>
      <c r="G12" s="146"/>
      <c r="H12" s="146"/>
      <c r="I12" s="146"/>
      <c r="J12" s="146"/>
      <c r="K12" s="146"/>
      <c r="L12" s="146"/>
      <c r="M12" s="146"/>
      <c r="N12" s="146"/>
      <c r="O12" s="57">
        <f t="shared" si="0"/>
        <v>0</v>
      </c>
    </row>
    <row r="13" spans="1:15" x14ac:dyDescent="0.15">
      <c r="A13" s="137"/>
      <c r="B13" s="145" t="s">
        <v>162</v>
      </c>
      <c r="C13" s="146"/>
      <c r="D13" s="146"/>
      <c r="E13" s="146"/>
      <c r="F13" s="146"/>
      <c r="G13" s="146"/>
      <c r="H13" s="146"/>
      <c r="I13" s="146"/>
      <c r="J13" s="146"/>
      <c r="K13" s="146"/>
      <c r="L13" s="146"/>
      <c r="M13" s="146"/>
      <c r="N13" s="146"/>
      <c r="O13" s="57">
        <f t="shared" si="0"/>
        <v>0</v>
      </c>
    </row>
    <row r="14" spans="1:15" x14ac:dyDescent="0.15">
      <c r="A14" s="137"/>
      <c r="B14" s="145" t="s">
        <v>140</v>
      </c>
      <c r="C14" s="146"/>
      <c r="D14" s="146"/>
      <c r="E14" s="146"/>
      <c r="F14" s="146"/>
      <c r="G14" s="146"/>
      <c r="H14" s="146"/>
      <c r="I14" s="146"/>
      <c r="J14" s="146"/>
      <c r="K14" s="146"/>
      <c r="L14" s="146"/>
      <c r="M14" s="146"/>
      <c r="N14" s="146"/>
      <c r="O14" s="57">
        <f t="shared" si="0"/>
        <v>0</v>
      </c>
    </row>
    <row r="15" spans="1:15" x14ac:dyDescent="0.15">
      <c r="A15" s="137"/>
      <c r="B15" s="145" t="s">
        <v>141</v>
      </c>
      <c r="C15" s="146"/>
      <c r="D15" s="146"/>
      <c r="E15" s="146"/>
      <c r="F15" s="146"/>
      <c r="G15" s="146"/>
      <c r="H15" s="146"/>
      <c r="I15" s="146"/>
      <c r="J15" s="146"/>
      <c r="K15" s="146"/>
      <c r="L15" s="146"/>
      <c r="M15" s="146"/>
      <c r="N15" s="146"/>
      <c r="O15" s="57">
        <f t="shared" si="0"/>
        <v>0</v>
      </c>
    </row>
    <row r="16" spans="1:15" x14ac:dyDescent="0.15">
      <c r="A16" s="137"/>
      <c r="B16" s="145" t="s">
        <v>6</v>
      </c>
      <c r="C16" s="146"/>
      <c r="D16" s="146"/>
      <c r="E16" s="146"/>
      <c r="F16" s="146"/>
      <c r="G16" s="146"/>
      <c r="H16" s="146"/>
      <c r="I16" s="146"/>
      <c r="J16" s="146"/>
      <c r="K16" s="146"/>
      <c r="L16" s="146"/>
      <c r="M16" s="146"/>
      <c r="N16" s="146"/>
      <c r="O16" s="57">
        <f t="shared" si="0"/>
        <v>0</v>
      </c>
    </row>
    <row r="17" spans="1:15" x14ac:dyDescent="0.15">
      <c r="A17" s="137"/>
      <c r="B17" s="145" t="s">
        <v>142</v>
      </c>
      <c r="C17" s="146"/>
      <c r="D17" s="146"/>
      <c r="E17" s="146"/>
      <c r="F17" s="146"/>
      <c r="G17" s="146"/>
      <c r="H17" s="146"/>
      <c r="I17" s="146"/>
      <c r="J17" s="146"/>
      <c r="K17" s="146"/>
      <c r="L17" s="146"/>
      <c r="M17" s="146"/>
      <c r="N17" s="146"/>
      <c r="O17" s="57">
        <f t="shared" si="0"/>
        <v>0</v>
      </c>
    </row>
    <row r="18" spans="1:15" x14ac:dyDescent="0.15">
      <c r="A18" s="137"/>
      <c r="B18" s="145" t="s">
        <v>143</v>
      </c>
      <c r="C18" s="146"/>
      <c r="D18" s="146"/>
      <c r="E18" s="146"/>
      <c r="F18" s="146"/>
      <c r="G18" s="146"/>
      <c r="H18" s="146"/>
      <c r="I18" s="146"/>
      <c r="J18" s="146"/>
      <c r="K18" s="146"/>
      <c r="L18" s="146"/>
      <c r="M18" s="146"/>
      <c r="N18" s="146"/>
      <c r="O18" s="57">
        <f t="shared" si="0"/>
        <v>0</v>
      </c>
    </row>
    <row r="19" spans="1:15" x14ac:dyDescent="0.15">
      <c r="A19" s="137"/>
      <c r="B19" s="145" t="s">
        <v>144</v>
      </c>
      <c r="C19" s="146"/>
      <c r="D19" s="146"/>
      <c r="E19" s="146"/>
      <c r="F19" s="146"/>
      <c r="G19" s="146"/>
      <c r="H19" s="146"/>
      <c r="I19" s="146"/>
      <c r="J19" s="146"/>
      <c r="K19" s="146"/>
      <c r="L19" s="146"/>
      <c r="M19" s="146"/>
      <c r="N19" s="146"/>
      <c r="O19" s="57">
        <f t="shared" si="0"/>
        <v>0</v>
      </c>
    </row>
    <row r="20" spans="1:15" x14ac:dyDescent="0.15">
      <c r="A20" s="137"/>
      <c r="B20" s="145" t="s">
        <v>145</v>
      </c>
      <c r="C20" s="146"/>
      <c r="D20" s="146"/>
      <c r="E20" s="146"/>
      <c r="F20" s="146"/>
      <c r="G20" s="146"/>
      <c r="H20" s="146"/>
      <c r="I20" s="146"/>
      <c r="J20" s="146"/>
      <c r="K20" s="146"/>
      <c r="L20" s="146"/>
      <c r="M20" s="146"/>
      <c r="N20" s="146"/>
      <c r="O20" s="57">
        <f t="shared" si="0"/>
        <v>0</v>
      </c>
    </row>
    <row r="21" spans="1:15" x14ac:dyDescent="0.15">
      <c r="A21" s="137"/>
      <c r="B21" s="145" t="s">
        <v>5</v>
      </c>
      <c r="C21" s="146"/>
      <c r="D21" s="146"/>
      <c r="E21" s="146"/>
      <c r="F21" s="146"/>
      <c r="G21" s="146"/>
      <c r="H21" s="146"/>
      <c r="I21" s="146"/>
      <c r="J21" s="146"/>
      <c r="K21" s="146"/>
      <c r="L21" s="146"/>
      <c r="M21" s="146"/>
      <c r="N21" s="146"/>
      <c r="O21" s="57">
        <f t="shared" si="0"/>
        <v>0</v>
      </c>
    </row>
    <row r="22" spans="1:15" x14ac:dyDescent="0.15">
      <c r="A22" s="137"/>
      <c r="B22" s="145" t="s">
        <v>146</v>
      </c>
      <c r="C22" s="146"/>
      <c r="D22" s="146"/>
      <c r="E22" s="146"/>
      <c r="F22" s="146"/>
      <c r="G22" s="146"/>
      <c r="H22" s="146"/>
      <c r="I22" s="146"/>
      <c r="J22" s="146"/>
      <c r="K22" s="146"/>
      <c r="L22" s="146"/>
      <c r="M22" s="146"/>
      <c r="N22" s="146"/>
      <c r="O22" s="57">
        <f t="shared" si="0"/>
        <v>0</v>
      </c>
    </row>
    <row r="23" spans="1:15" x14ac:dyDescent="0.15">
      <c r="A23" s="137"/>
      <c r="B23" s="145" t="s">
        <v>15</v>
      </c>
      <c r="C23" s="146"/>
      <c r="D23" s="146"/>
      <c r="E23" s="146"/>
      <c r="F23" s="146"/>
      <c r="G23" s="146"/>
      <c r="H23" s="146"/>
      <c r="I23" s="146"/>
      <c r="J23" s="146"/>
      <c r="K23" s="146"/>
      <c r="L23" s="146"/>
      <c r="M23" s="146"/>
      <c r="N23" s="146"/>
      <c r="O23" s="57">
        <f t="shared" si="0"/>
        <v>0</v>
      </c>
    </row>
    <row r="24" spans="1:15" x14ac:dyDescent="0.15">
      <c r="A24" s="137"/>
      <c r="B24" s="145" t="s">
        <v>206</v>
      </c>
      <c r="C24" s="146"/>
      <c r="D24" s="146"/>
      <c r="E24" s="146"/>
      <c r="F24" s="146"/>
      <c r="G24" s="146"/>
      <c r="H24" s="146"/>
      <c r="I24" s="146"/>
      <c r="J24" s="146"/>
      <c r="K24" s="146"/>
      <c r="L24" s="146"/>
      <c r="M24" s="146"/>
      <c r="N24" s="146"/>
      <c r="O24" s="57">
        <f t="shared" si="0"/>
        <v>0</v>
      </c>
    </row>
    <row r="25" spans="1:15" x14ac:dyDescent="0.15">
      <c r="A25" s="137"/>
      <c r="B25" s="24" t="s">
        <v>17</v>
      </c>
      <c r="C25" s="57">
        <f t="shared" ref="C25:N25" si="1">SUM(C10:C24)</f>
        <v>0</v>
      </c>
      <c r="D25" s="57">
        <f t="shared" si="1"/>
        <v>0</v>
      </c>
      <c r="E25" s="57">
        <f t="shared" si="1"/>
        <v>0</v>
      </c>
      <c r="F25" s="57">
        <f t="shared" si="1"/>
        <v>0</v>
      </c>
      <c r="G25" s="57">
        <f t="shared" si="1"/>
        <v>0</v>
      </c>
      <c r="H25" s="57">
        <f t="shared" si="1"/>
        <v>0</v>
      </c>
      <c r="I25" s="57">
        <f t="shared" si="1"/>
        <v>0</v>
      </c>
      <c r="J25" s="57">
        <f t="shared" si="1"/>
        <v>0</v>
      </c>
      <c r="K25" s="57">
        <f t="shared" si="1"/>
        <v>0</v>
      </c>
      <c r="L25" s="57">
        <f t="shared" si="1"/>
        <v>0</v>
      </c>
      <c r="M25" s="57">
        <f t="shared" si="1"/>
        <v>0</v>
      </c>
      <c r="N25" s="57">
        <f t="shared" si="1"/>
        <v>0</v>
      </c>
      <c r="O25" s="57">
        <f t="shared" si="0"/>
        <v>0</v>
      </c>
    </row>
    <row r="26" spans="1:15" x14ac:dyDescent="0.15">
      <c r="A26" s="137"/>
      <c r="B26" s="24"/>
      <c r="C26" s="34"/>
      <c r="D26" s="34"/>
      <c r="E26" s="34"/>
      <c r="F26" s="34"/>
      <c r="G26" s="34"/>
      <c r="H26" s="34"/>
      <c r="I26" s="34"/>
      <c r="J26" s="34"/>
      <c r="K26" s="34"/>
      <c r="L26" s="34"/>
      <c r="M26" s="34"/>
      <c r="N26" s="34"/>
      <c r="O26" s="34"/>
    </row>
    <row r="27" spans="1:15" x14ac:dyDescent="0.15">
      <c r="A27" s="137"/>
      <c r="B27" s="147" t="s">
        <v>131</v>
      </c>
      <c r="C27" s="48"/>
      <c r="D27" s="48"/>
      <c r="E27" s="48"/>
      <c r="F27" s="48"/>
      <c r="G27" s="48"/>
      <c r="H27" s="48"/>
      <c r="I27" s="48"/>
      <c r="J27" s="48"/>
      <c r="K27" s="48"/>
      <c r="L27" s="48"/>
      <c r="M27" s="48"/>
      <c r="N27" s="48"/>
      <c r="O27" s="7"/>
    </row>
    <row r="28" spans="1:15" x14ac:dyDescent="0.15">
      <c r="B28" s="148" t="s">
        <v>139</v>
      </c>
      <c r="C28" s="154">
        <f>'Amortization&amp;Depreciation'!C119</f>
        <v>0</v>
      </c>
      <c r="D28" s="154">
        <f>'Amortization&amp;Depreciation'!D119</f>
        <v>0</v>
      </c>
      <c r="E28" s="154">
        <f>'Amortization&amp;Depreciation'!E119</f>
        <v>0</v>
      </c>
      <c r="F28" s="154">
        <f>'Amortization&amp;Depreciation'!F119</f>
        <v>0</v>
      </c>
      <c r="G28" s="154">
        <f>'Amortization&amp;Depreciation'!G119</f>
        <v>0</v>
      </c>
      <c r="H28" s="154">
        <f>'Amortization&amp;Depreciation'!H119</f>
        <v>0</v>
      </c>
      <c r="I28" s="154">
        <f>'Amortization&amp;Depreciation'!I119</f>
        <v>0</v>
      </c>
      <c r="J28" s="154">
        <f>'Amortization&amp;Depreciation'!J119</f>
        <v>0</v>
      </c>
      <c r="K28" s="154">
        <f>'Amortization&amp;Depreciation'!K119</f>
        <v>0</v>
      </c>
      <c r="L28" s="154">
        <f>'Amortization&amp;Depreciation'!L119</f>
        <v>0</v>
      </c>
      <c r="M28" s="154">
        <f>'Amortization&amp;Depreciation'!M119</f>
        <v>0</v>
      </c>
      <c r="N28" s="154">
        <f>'Amortization&amp;Depreciation'!N119</f>
        <v>0</v>
      </c>
      <c r="O28" s="57">
        <f>SUM(C28:N28)</f>
        <v>0</v>
      </c>
    </row>
    <row r="29" spans="1:15" x14ac:dyDescent="0.15">
      <c r="B29" s="148" t="s">
        <v>58</v>
      </c>
      <c r="C29" s="48"/>
      <c r="D29" s="48"/>
      <c r="E29" s="48"/>
      <c r="F29" s="48"/>
      <c r="G29" s="48"/>
      <c r="H29" s="48"/>
      <c r="I29" s="48"/>
      <c r="J29" s="48"/>
      <c r="K29" s="48"/>
      <c r="L29" s="48"/>
      <c r="M29" s="48"/>
      <c r="N29" s="48"/>
      <c r="O29" s="7"/>
    </row>
    <row r="30" spans="1:15" x14ac:dyDescent="0.15">
      <c r="B30" s="149" t="s">
        <v>54</v>
      </c>
      <c r="C30" s="154">
        <f>'Amortization&amp;Depreciation'!C15</f>
        <v>0</v>
      </c>
      <c r="D30" s="154">
        <f>'Amortization&amp;Depreciation'!D15</f>
        <v>0</v>
      </c>
      <c r="E30" s="154">
        <f>'Amortization&amp;Depreciation'!E15</f>
        <v>0</v>
      </c>
      <c r="F30" s="154">
        <f>'Amortization&amp;Depreciation'!F15</f>
        <v>0</v>
      </c>
      <c r="G30" s="154">
        <f>'Amortization&amp;Depreciation'!G15</f>
        <v>0</v>
      </c>
      <c r="H30" s="154">
        <f>'Amortization&amp;Depreciation'!H15</f>
        <v>0</v>
      </c>
      <c r="I30" s="154">
        <f>'Amortization&amp;Depreciation'!I15</f>
        <v>0</v>
      </c>
      <c r="J30" s="154">
        <f>'Amortization&amp;Depreciation'!J15</f>
        <v>0</v>
      </c>
      <c r="K30" s="154">
        <f>'Amortization&amp;Depreciation'!K15</f>
        <v>0</v>
      </c>
      <c r="L30" s="154">
        <f>'Amortization&amp;Depreciation'!L15</f>
        <v>0</v>
      </c>
      <c r="M30" s="154">
        <f>'Amortization&amp;Depreciation'!M15</f>
        <v>0</v>
      </c>
      <c r="N30" s="154">
        <f>'Amortization&amp;Depreciation'!N15</f>
        <v>0</v>
      </c>
      <c r="O30" s="57">
        <f t="shared" ref="O30:O38" si="2">SUM(C30:N30)</f>
        <v>0</v>
      </c>
    </row>
    <row r="31" spans="1:15" x14ac:dyDescent="0.15">
      <c r="B31" s="149" t="s">
        <v>55</v>
      </c>
      <c r="C31" s="154" t="e">
        <f>'Amortization&amp;Depreciation'!C35</f>
        <v>#NUM!</v>
      </c>
      <c r="D31" s="154" t="e">
        <f>'Amortization&amp;Depreciation'!D35</f>
        <v>#NUM!</v>
      </c>
      <c r="E31" s="154" t="e">
        <f>'Amortization&amp;Depreciation'!E35</f>
        <v>#NUM!</v>
      </c>
      <c r="F31" s="154" t="e">
        <f>'Amortization&amp;Depreciation'!F35</f>
        <v>#NUM!</v>
      </c>
      <c r="G31" s="154" t="e">
        <f>'Amortization&amp;Depreciation'!G35</f>
        <v>#NUM!</v>
      </c>
      <c r="H31" s="154" t="e">
        <f>'Amortization&amp;Depreciation'!H35</f>
        <v>#NUM!</v>
      </c>
      <c r="I31" s="154" t="e">
        <f>'Amortization&amp;Depreciation'!I35</f>
        <v>#NUM!</v>
      </c>
      <c r="J31" s="154" t="e">
        <f>'Amortization&amp;Depreciation'!J35</f>
        <v>#NUM!</v>
      </c>
      <c r="K31" s="154" t="e">
        <f>'Amortization&amp;Depreciation'!K35</f>
        <v>#NUM!</v>
      </c>
      <c r="L31" s="154" t="e">
        <f>'Amortization&amp;Depreciation'!L35</f>
        <v>#NUM!</v>
      </c>
      <c r="M31" s="154" t="e">
        <f>'Amortization&amp;Depreciation'!M35</f>
        <v>#NUM!</v>
      </c>
      <c r="N31" s="154" t="e">
        <f>'Amortization&amp;Depreciation'!N35</f>
        <v>#NUM!</v>
      </c>
      <c r="O31" s="57" t="e">
        <f t="shared" si="2"/>
        <v>#NUM!</v>
      </c>
    </row>
    <row r="32" spans="1:15" x14ac:dyDescent="0.15">
      <c r="B32" s="149" t="s">
        <v>133</v>
      </c>
      <c r="C32" s="154" t="e">
        <f>'Amortization&amp;Depreciation'!C55</f>
        <v>#NUM!</v>
      </c>
      <c r="D32" s="154" t="e">
        <f>'Amortization&amp;Depreciation'!D55</f>
        <v>#NUM!</v>
      </c>
      <c r="E32" s="154" t="e">
        <f>'Amortization&amp;Depreciation'!E55</f>
        <v>#NUM!</v>
      </c>
      <c r="F32" s="154" t="e">
        <f>'Amortization&amp;Depreciation'!F55</f>
        <v>#NUM!</v>
      </c>
      <c r="G32" s="154" t="e">
        <f>'Amortization&amp;Depreciation'!G55</f>
        <v>#NUM!</v>
      </c>
      <c r="H32" s="154" t="e">
        <f>'Amortization&amp;Depreciation'!H55</f>
        <v>#NUM!</v>
      </c>
      <c r="I32" s="154" t="e">
        <f>'Amortization&amp;Depreciation'!I55</f>
        <v>#NUM!</v>
      </c>
      <c r="J32" s="154" t="e">
        <f>'Amortization&amp;Depreciation'!J55</f>
        <v>#NUM!</v>
      </c>
      <c r="K32" s="154" t="e">
        <f>'Amortization&amp;Depreciation'!K55</f>
        <v>#NUM!</v>
      </c>
      <c r="L32" s="154" t="e">
        <f>'Amortization&amp;Depreciation'!L55</f>
        <v>#NUM!</v>
      </c>
      <c r="M32" s="154" t="e">
        <f>'Amortization&amp;Depreciation'!M55</f>
        <v>#NUM!</v>
      </c>
      <c r="N32" s="154" t="e">
        <f>'Amortization&amp;Depreciation'!N55</f>
        <v>#NUM!</v>
      </c>
      <c r="O32" s="57" t="e">
        <f t="shared" si="2"/>
        <v>#NUM!</v>
      </c>
    </row>
    <row r="33" spans="2:18" x14ac:dyDescent="0.15">
      <c r="B33" s="149" t="s">
        <v>134</v>
      </c>
      <c r="C33" s="154" t="e">
        <f>'Amortization&amp;Depreciation'!C75</f>
        <v>#NUM!</v>
      </c>
      <c r="D33" s="154" t="e">
        <f>'Amortization&amp;Depreciation'!D75</f>
        <v>#NUM!</v>
      </c>
      <c r="E33" s="154" t="e">
        <f>'Amortization&amp;Depreciation'!E75</f>
        <v>#NUM!</v>
      </c>
      <c r="F33" s="154" t="e">
        <f>'Amortization&amp;Depreciation'!F75</f>
        <v>#NUM!</v>
      </c>
      <c r="G33" s="154" t="e">
        <f>'Amortization&amp;Depreciation'!G75</f>
        <v>#NUM!</v>
      </c>
      <c r="H33" s="154" t="e">
        <f>'Amortization&amp;Depreciation'!H75</f>
        <v>#NUM!</v>
      </c>
      <c r="I33" s="154" t="e">
        <f>'Amortization&amp;Depreciation'!I75</f>
        <v>#NUM!</v>
      </c>
      <c r="J33" s="154" t="e">
        <f>'Amortization&amp;Depreciation'!J75</f>
        <v>#NUM!</v>
      </c>
      <c r="K33" s="154" t="e">
        <f>'Amortization&amp;Depreciation'!K75</f>
        <v>#NUM!</v>
      </c>
      <c r="L33" s="154" t="e">
        <f>'Amortization&amp;Depreciation'!L75</f>
        <v>#NUM!</v>
      </c>
      <c r="M33" s="154" t="e">
        <f>'Amortization&amp;Depreciation'!M75</f>
        <v>#NUM!</v>
      </c>
      <c r="N33" s="154" t="e">
        <f>'Amortization&amp;Depreciation'!N75</f>
        <v>#NUM!</v>
      </c>
      <c r="O33" s="57" t="e">
        <f t="shared" si="2"/>
        <v>#NUM!</v>
      </c>
    </row>
    <row r="34" spans="2:18" x14ac:dyDescent="0.15">
      <c r="B34" s="149" t="s">
        <v>135</v>
      </c>
      <c r="C34" s="154" t="e">
        <f>'Amortization&amp;Depreciation'!C95</f>
        <v>#NUM!</v>
      </c>
      <c r="D34" s="154" t="e">
        <f>'Amortization&amp;Depreciation'!D95</f>
        <v>#NUM!</v>
      </c>
      <c r="E34" s="154" t="e">
        <f>'Amortization&amp;Depreciation'!E95</f>
        <v>#NUM!</v>
      </c>
      <c r="F34" s="154" t="e">
        <f>'Amortization&amp;Depreciation'!F95</f>
        <v>#NUM!</v>
      </c>
      <c r="G34" s="154" t="e">
        <f>'Amortization&amp;Depreciation'!G95</f>
        <v>#NUM!</v>
      </c>
      <c r="H34" s="154" t="e">
        <f>'Amortization&amp;Depreciation'!H95</f>
        <v>#NUM!</v>
      </c>
      <c r="I34" s="154" t="e">
        <f>'Amortization&amp;Depreciation'!I95</f>
        <v>#NUM!</v>
      </c>
      <c r="J34" s="154" t="e">
        <f>'Amortization&amp;Depreciation'!J95</f>
        <v>#NUM!</v>
      </c>
      <c r="K34" s="154" t="e">
        <f>'Amortization&amp;Depreciation'!K95</f>
        <v>#NUM!</v>
      </c>
      <c r="L34" s="154" t="e">
        <f>'Amortization&amp;Depreciation'!L95</f>
        <v>#NUM!</v>
      </c>
      <c r="M34" s="154" t="e">
        <f>'Amortization&amp;Depreciation'!M95</f>
        <v>#NUM!</v>
      </c>
      <c r="N34" s="154" t="e">
        <f>'Amortization&amp;Depreciation'!N95</f>
        <v>#NUM!</v>
      </c>
      <c r="O34" s="57" t="e">
        <f t="shared" si="2"/>
        <v>#NUM!</v>
      </c>
    </row>
    <row r="35" spans="2:18" x14ac:dyDescent="0.15">
      <c r="B35" s="149" t="s">
        <v>243</v>
      </c>
      <c r="C35" s="154">
        <f>'6a-CashFlowYear1'!C26</f>
        <v>0</v>
      </c>
      <c r="D35" s="154" t="e">
        <f>'6a-CashFlowYear1'!D26</f>
        <v>#DIV/0!</v>
      </c>
      <c r="E35" s="154" t="e">
        <f>'6a-CashFlowYear1'!E26</f>
        <v>#DIV/0!</v>
      </c>
      <c r="F35" s="154" t="e">
        <f>'6a-CashFlowYear1'!F26</f>
        <v>#DIV/0!</v>
      </c>
      <c r="G35" s="154" t="e">
        <f>'6a-CashFlowYear1'!G26</f>
        <v>#DIV/0!</v>
      </c>
      <c r="H35" s="154" t="e">
        <f>'6a-CashFlowYear1'!H26</f>
        <v>#DIV/0!</v>
      </c>
      <c r="I35" s="154" t="e">
        <f>'6a-CashFlowYear1'!I26</f>
        <v>#DIV/0!</v>
      </c>
      <c r="J35" s="154" t="e">
        <f>'6a-CashFlowYear1'!J26</f>
        <v>#DIV/0!</v>
      </c>
      <c r="K35" s="154" t="e">
        <f>'6a-CashFlowYear1'!K26</f>
        <v>#DIV/0!</v>
      </c>
      <c r="L35" s="154" t="e">
        <f>'6a-CashFlowYear1'!L26</f>
        <v>#DIV/0!</v>
      </c>
      <c r="M35" s="154" t="e">
        <f>'6a-CashFlowYear1'!M26</f>
        <v>#DIV/0!</v>
      </c>
      <c r="N35" s="154" t="e">
        <f>'6a-CashFlowYear1'!N26</f>
        <v>#DIV/0!</v>
      </c>
      <c r="O35" s="57" t="e">
        <f t="shared" si="2"/>
        <v>#DIV/0!</v>
      </c>
    </row>
    <row r="36" spans="2:18" x14ac:dyDescent="0.15">
      <c r="B36" s="148" t="s">
        <v>267</v>
      </c>
      <c r="C36" s="154" t="e">
        <f>+'7a-IncomeStatementYear1'!C64</f>
        <v>#DIV/0!</v>
      </c>
      <c r="D36" s="154" t="e">
        <f>+'7a-IncomeStatementYear1'!D64</f>
        <v>#DIV/0!</v>
      </c>
      <c r="E36" s="154" t="e">
        <f>+'7a-IncomeStatementYear1'!E64</f>
        <v>#DIV/0!</v>
      </c>
      <c r="F36" s="154" t="e">
        <f>+'7a-IncomeStatementYear1'!F64</f>
        <v>#DIV/0!</v>
      </c>
      <c r="G36" s="154" t="e">
        <f>+'7a-IncomeStatementYear1'!G64</f>
        <v>#DIV/0!</v>
      </c>
      <c r="H36" s="154" t="e">
        <f>+'7a-IncomeStatementYear1'!H64</f>
        <v>#DIV/0!</v>
      </c>
      <c r="I36" s="154" t="e">
        <f>+'7a-IncomeStatementYear1'!I64</f>
        <v>#DIV/0!</v>
      </c>
      <c r="J36" s="154" t="e">
        <f>+'7a-IncomeStatementYear1'!J64</f>
        <v>#DIV/0!</v>
      </c>
      <c r="K36" s="154" t="e">
        <f>+'7a-IncomeStatementYear1'!K64</f>
        <v>#DIV/0!</v>
      </c>
      <c r="L36" s="154" t="e">
        <f>+'7a-IncomeStatementYear1'!L64</f>
        <v>#DIV/0!</v>
      </c>
      <c r="M36" s="154" t="e">
        <f>+'7a-IncomeStatementYear1'!M64</f>
        <v>#DIV/0!</v>
      </c>
      <c r="N36" s="154" t="e">
        <f>+'7a-IncomeStatementYear1'!N64</f>
        <v>#DIV/0!</v>
      </c>
      <c r="O36" s="57" t="e">
        <f t="shared" si="2"/>
        <v>#DIV/0!</v>
      </c>
    </row>
    <row r="37" spans="2:18" x14ac:dyDescent="0.15">
      <c r="B37" s="147" t="s">
        <v>148</v>
      </c>
      <c r="C37" s="283" t="e">
        <f>SUM(C28:C36)</f>
        <v>#NUM!</v>
      </c>
      <c r="D37" s="283" t="e">
        <f>SUM(D28:D36)</f>
        <v>#NUM!</v>
      </c>
      <c r="E37" s="283" t="e">
        <f t="shared" ref="E37:N37" si="3">SUM(E28:E36)</f>
        <v>#NUM!</v>
      </c>
      <c r="F37" s="283" t="e">
        <f t="shared" si="3"/>
        <v>#NUM!</v>
      </c>
      <c r="G37" s="283" t="e">
        <f t="shared" si="3"/>
        <v>#NUM!</v>
      </c>
      <c r="H37" s="283" t="e">
        <f t="shared" si="3"/>
        <v>#NUM!</v>
      </c>
      <c r="I37" s="283" t="e">
        <f t="shared" si="3"/>
        <v>#NUM!</v>
      </c>
      <c r="J37" s="283" t="e">
        <f t="shared" si="3"/>
        <v>#NUM!</v>
      </c>
      <c r="K37" s="283" t="e">
        <f t="shared" si="3"/>
        <v>#NUM!</v>
      </c>
      <c r="L37" s="283" t="e">
        <f t="shared" si="3"/>
        <v>#NUM!</v>
      </c>
      <c r="M37" s="283" t="e">
        <f t="shared" si="3"/>
        <v>#NUM!</v>
      </c>
      <c r="N37" s="283" t="e">
        <f t="shared" si="3"/>
        <v>#NUM!</v>
      </c>
      <c r="O37" s="57" t="e">
        <f t="shared" si="2"/>
        <v>#NUM!</v>
      </c>
    </row>
    <row r="38" spans="2:18" x14ac:dyDescent="0.15">
      <c r="B38" s="7" t="s">
        <v>149</v>
      </c>
      <c r="C38" s="34" t="e">
        <f>C25+C37</f>
        <v>#NUM!</v>
      </c>
      <c r="D38" s="34" t="e">
        <f t="shared" ref="D38:N38" si="4">D25+D37</f>
        <v>#NUM!</v>
      </c>
      <c r="E38" s="34" t="e">
        <f t="shared" si="4"/>
        <v>#NUM!</v>
      </c>
      <c r="F38" s="34" t="e">
        <f t="shared" si="4"/>
        <v>#NUM!</v>
      </c>
      <c r="G38" s="34" t="e">
        <f t="shared" si="4"/>
        <v>#NUM!</v>
      </c>
      <c r="H38" s="34" t="e">
        <f t="shared" si="4"/>
        <v>#NUM!</v>
      </c>
      <c r="I38" s="34" t="e">
        <f t="shared" si="4"/>
        <v>#NUM!</v>
      </c>
      <c r="J38" s="34" t="e">
        <f t="shared" si="4"/>
        <v>#NUM!</v>
      </c>
      <c r="K38" s="34" t="e">
        <f t="shared" si="4"/>
        <v>#NUM!</v>
      </c>
      <c r="L38" s="34" t="e">
        <f t="shared" si="4"/>
        <v>#NUM!</v>
      </c>
      <c r="M38" s="34" t="e">
        <f t="shared" si="4"/>
        <v>#NUM!</v>
      </c>
      <c r="N38" s="34" t="e">
        <f t="shared" si="4"/>
        <v>#NUM!</v>
      </c>
      <c r="O38" s="34" t="e">
        <f t="shared" si="2"/>
        <v>#NUM!</v>
      </c>
      <c r="R38" s="150"/>
    </row>
  </sheetData>
  <sheetProtection password="CC3D" sheet="1" objects="1" scenarios="1" formatColumns="0" formatRows="0"/>
  <mergeCells count="2">
    <mergeCell ref="D7:O7"/>
    <mergeCell ref="C4:D4"/>
  </mergeCells>
  <phoneticPr fontId="3" type="noConversion"/>
  <conditionalFormatting sqref="C10:N24">
    <cfRule type="containsBlanks" dxfId="57" priority="1">
      <formula>LEN(TRIM(C10))=0</formula>
    </cfRule>
  </conditionalFormatting>
  <pageMargins left="0.25" right="0.25" top="0.75" bottom="0.75" header="0.3" footer="0.3"/>
  <pageSetup scale="74" orientation="landscape"/>
  <headerFooter scaleWithDoc="0">
    <oddHeader>&amp;C&amp;"Gill Sans MT,Regular"&amp;12Operating Expenses Year 1</oddHeader>
    <oddFooter>&amp;L&amp;"Gill Sans MT,Regular"&amp;12&amp;F&amp;C&amp;"Gill Sans MT,Regular"&amp;12&amp;A&amp;R&amp;"Gill Sans MT,Regular"&amp;12&amp;D &amp;T</oddFooter>
  </headerFooter>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rgb="FFFFC95B"/>
    <pageSetUpPr autoPageBreaks="0"/>
  </sheetPr>
  <dimension ref="B2:M36"/>
  <sheetViews>
    <sheetView workbookViewId="0">
      <selection activeCell="F8" sqref="F8:F23"/>
    </sheetView>
  </sheetViews>
  <sheetFormatPr baseColWidth="10" defaultColWidth="8.83203125" defaultRowHeight="12" x14ac:dyDescent="0.15"/>
  <cols>
    <col min="1" max="1" width="6.83203125" style="43" customWidth="1"/>
    <col min="2" max="2" width="46.6640625" style="43" bestFit="1" customWidth="1"/>
    <col min="3" max="3" width="15.6640625" style="43" customWidth="1"/>
    <col min="4" max="4" width="19" style="43" bestFit="1" customWidth="1"/>
    <col min="5" max="5" width="15.6640625" style="43" customWidth="1"/>
    <col min="6" max="6" width="19.33203125" style="43" bestFit="1" customWidth="1"/>
    <col min="7" max="7" width="15.6640625" style="43" customWidth="1"/>
    <col min="8" max="8" width="5.33203125" style="43" bestFit="1" customWidth="1"/>
    <col min="9" max="16384" width="8.83203125" style="43"/>
  </cols>
  <sheetData>
    <row r="2" spans="2:13" ht="17.25" customHeight="1" x14ac:dyDescent="0.15">
      <c r="B2" s="723" t="s">
        <v>310</v>
      </c>
      <c r="C2" s="723"/>
      <c r="F2" s="140"/>
      <c r="G2" s="140"/>
    </row>
    <row r="3" spans="2:13" ht="18" customHeight="1" x14ac:dyDescent="0.15">
      <c r="B3" s="151"/>
      <c r="C3" s="151"/>
      <c r="F3" s="140"/>
      <c r="G3" s="140"/>
    </row>
    <row r="4" spans="2:13" ht="18" customHeight="1" x14ac:dyDescent="0.15">
      <c r="B4" s="152" t="s">
        <v>119</v>
      </c>
      <c r="C4" s="152" t="s">
        <v>120</v>
      </c>
      <c r="D4" s="56"/>
      <c r="E4" s="56"/>
      <c r="F4" s="56"/>
      <c r="G4" s="140"/>
    </row>
    <row r="5" spans="2:13" x14ac:dyDescent="0.15">
      <c r="B5" s="56" t="str">
        <f>IF(ISBLANK(Directions!C6), "Owner", Directions!C6)</f>
        <v>Owner</v>
      </c>
      <c r="C5" s="728" t="str">
        <f>IF(ISBLANK(Directions!D6), "Company 1", Directions!D6)</f>
        <v>Company 1</v>
      </c>
      <c r="D5" s="728"/>
      <c r="E5" s="728"/>
      <c r="F5" s="728"/>
      <c r="G5" s="153"/>
      <c r="I5" s="300"/>
      <c r="J5" s="300"/>
      <c r="K5" s="300"/>
      <c r="L5" s="300"/>
      <c r="M5" s="300"/>
    </row>
    <row r="6" spans="2:13" x14ac:dyDescent="0.15">
      <c r="I6" s="300"/>
      <c r="J6" s="300"/>
      <c r="K6" s="300"/>
      <c r="L6" s="300"/>
      <c r="M6" s="300"/>
    </row>
    <row r="7" spans="2:13" ht="17.25" customHeight="1" thickBot="1" x14ac:dyDescent="0.2">
      <c r="B7" s="326" t="s">
        <v>83</v>
      </c>
      <c r="C7" s="326" t="str">
        <f>IF(Directions!F6&gt;0,Directions!F6,"First Year")</f>
        <v>First Year</v>
      </c>
      <c r="D7" s="326" t="s">
        <v>110</v>
      </c>
      <c r="E7" s="326" t="str">
        <f>IF(Directions!F6&gt;0,Directions!F6+1,"Second Year")</f>
        <v>Second Year</v>
      </c>
      <c r="F7" s="326" t="s">
        <v>111</v>
      </c>
      <c r="G7" s="326" t="str">
        <f>IF(Directions!F6&gt;0,Directions!F6+2,"Third Year")</f>
        <v>Third Year</v>
      </c>
      <c r="I7" s="300"/>
      <c r="J7" s="300"/>
      <c r="K7" s="300"/>
      <c r="L7" s="300"/>
      <c r="M7" s="300"/>
    </row>
    <row r="8" spans="2:13" ht="13" thickTop="1" x14ac:dyDescent="0.15">
      <c r="B8" s="313" t="s">
        <v>14</v>
      </c>
      <c r="C8" s="157">
        <f>'5a-OpExYear1'!O10</f>
        <v>0</v>
      </c>
      <c r="D8" s="311"/>
      <c r="E8" s="157">
        <f t="shared" ref="E8:E22" si="0">C8*(1+D8)</f>
        <v>0</v>
      </c>
      <c r="F8" s="311"/>
      <c r="G8" s="157">
        <f t="shared" ref="G8:G22" si="1">E8*(1+F8)</f>
        <v>0</v>
      </c>
    </row>
    <row r="9" spans="2:13" x14ac:dyDescent="0.15">
      <c r="B9" s="145" t="s">
        <v>136</v>
      </c>
      <c r="C9" s="79">
        <f>'5a-OpExYear1'!O11</f>
        <v>0</v>
      </c>
      <c r="D9" s="132"/>
      <c r="E9" s="79">
        <f t="shared" si="0"/>
        <v>0</v>
      </c>
      <c r="F9" s="132"/>
      <c r="G9" s="79">
        <f t="shared" si="1"/>
        <v>0</v>
      </c>
    </row>
    <row r="10" spans="2:13" x14ac:dyDescent="0.15">
      <c r="B10" s="145" t="s">
        <v>137</v>
      </c>
      <c r="C10" s="79">
        <f>'5a-OpExYear1'!O12</f>
        <v>0</v>
      </c>
      <c r="D10" s="132"/>
      <c r="E10" s="79">
        <f t="shared" si="0"/>
        <v>0</v>
      </c>
      <c r="F10" s="132"/>
      <c r="G10" s="79">
        <f t="shared" si="1"/>
        <v>0</v>
      </c>
    </row>
    <row r="11" spans="2:13" x14ac:dyDescent="0.15">
      <c r="B11" s="145" t="s">
        <v>138</v>
      </c>
      <c r="C11" s="79">
        <f>'5a-OpExYear1'!O13</f>
        <v>0</v>
      </c>
      <c r="D11" s="132"/>
      <c r="E11" s="79">
        <f t="shared" si="0"/>
        <v>0</v>
      </c>
      <c r="F11" s="132"/>
      <c r="G11" s="79">
        <f t="shared" si="1"/>
        <v>0</v>
      </c>
    </row>
    <row r="12" spans="2:13" x14ac:dyDescent="0.15">
      <c r="B12" s="145" t="s">
        <v>140</v>
      </c>
      <c r="C12" s="79">
        <f>'5a-OpExYear1'!O14</f>
        <v>0</v>
      </c>
      <c r="D12" s="132"/>
      <c r="E12" s="79">
        <f t="shared" si="0"/>
        <v>0</v>
      </c>
      <c r="F12" s="132"/>
      <c r="G12" s="79">
        <f t="shared" si="1"/>
        <v>0</v>
      </c>
    </row>
    <row r="13" spans="2:13" x14ac:dyDescent="0.15">
      <c r="B13" s="145" t="s">
        <v>141</v>
      </c>
      <c r="C13" s="79">
        <f>'5a-OpExYear1'!O15</f>
        <v>0</v>
      </c>
      <c r="D13" s="132"/>
      <c r="E13" s="79">
        <f t="shared" si="0"/>
        <v>0</v>
      </c>
      <c r="F13" s="132"/>
      <c r="G13" s="79">
        <f t="shared" si="1"/>
        <v>0</v>
      </c>
    </row>
    <row r="14" spans="2:13" x14ac:dyDescent="0.15">
      <c r="B14" s="145" t="s">
        <v>6</v>
      </c>
      <c r="C14" s="79">
        <f>'5a-OpExYear1'!O16</f>
        <v>0</v>
      </c>
      <c r="D14" s="132"/>
      <c r="E14" s="79">
        <f t="shared" si="0"/>
        <v>0</v>
      </c>
      <c r="F14" s="132"/>
      <c r="G14" s="79">
        <f t="shared" si="1"/>
        <v>0</v>
      </c>
    </row>
    <row r="15" spans="2:13" x14ac:dyDescent="0.15">
      <c r="B15" s="145" t="s">
        <v>142</v>
      </c>
      <c r="C15" s="79">
        <f>'5a-OpExYear1'!O17</f>
        <v>0</v>
      </c>
      <c r="D15" s="132"/>
      <c r="E15" s="79">
        <f t="shared" si="0"/>
        <v>0</v>
      </c>
      <c r="F15" s="132"/>
      <c r="G15" s="79">
        <f t="shared" si="1"/>
        <v>0</v>
      </c>
    </row>
    <row r="16" spans="2:13" x14ac:dyDescent="0.15">
      <c r="B16" s="145" t="s">
        <v>143</v>
      </c>
      <c r="C16" s="79">
        <f>'5a-OpExYear1'!O18</f>
        <v>0</v>
      </c>
      <c r="D16" s="132"/>
      <c r="E16" s="79">
        <f t="shared" si="0"/>
        <v>0</v>
      </c>
      <c r="F16" s="132"/>
      <c r="G16" s="79">
        <f t="shared" si="1"/>
        <v>0</v>
      </c>
    </row>
    <row r="17" spans="2:7" x14ac:dyDescent="0.15">
      <c r="B17" s="145" t="s">
        <v>144</v>
      </c>
      <c r="C17" s="79">
        <f>'5a-OpExYear1'!O19</f>
        <v>0</v>
      </c>
      <c r="D17" s="132"/>
      <c r="E17" s="79">
        <f t="shared" si="0"/>
        <v>0</v>
      </c>
      <c r="F17" s="132"/>
      <c r="G17" s="79">
        <f t="shared" si="1"/>
        <v>0</v>
      </c>
    </row>
    <row r="18" spans="2:7" x14ac:dyDescent="0.15">
      <c r="B18" s="145" t="s">
        <v>145</v>
      </c>
      <c r="C18" s="79">
        <f>'5a-OpExYear1'!O20</f>
        <v>0</v>
      </c>
      <c r="D18" s="132"/>
      <c r="E18" s="79">
        <f t="shared" si="0"/>
        <v>0</v>
      </c>
      <c r="F18" s="132"/>
      <c r="G18" s="79">
        <f t="shared" si="1"/>
        <v>0</v>
      </c>
    </row>
    <row r="19" spans="2:7" x14ac:dyDescent="0.15">
      <c r="B19" s="145" t="s">
        <v>5</v>
      </c>
      <c r="C19" s="79">
        <f>'5a-OpExYear1'!O21</f>
        <v>0</v>
      </c>
      <c r="D19" s="132"/>
      <c r="E19" s="79">
        <f t="shared" si="0"/>
        <v>0</v>
      </c>
      <c r="F19" s="132"/>
      <c r="G19" s="79">
        <f t="shared" si="1"/>
        <v>0</v>
      </c>
    </row>
    <row r="20" spans="2:7" x14ac:dyDescent="0.15">
      <c r="B20" s="145" t="s">
        <v>146</v>
      </c>
      <c r="C20" s="79">
        <f>'5a-OpExYear1'!O22</f>
        <v>0</v>
      </c>
      <c r="D20" s="132"/>
      <c r="E20" s="79">
        <f t="shared" si="0"/>
        <v>0</v>
      </c>
      <c r="F20" s="132"/>
      <c r="G20" s="79">
        <f t="shared" si="1"/>
        <v>0</v>
      </c>
    </row>
    <row r="21" spans="2:7" x14ac:dyDescent="0.15">
      <c r="B21" s="145" t="s">
        <v>15</v>
      </c>
      <c r="C21" s="79">
        <f>'5a-OpExYear1'!O23</f>
        <v>0</v>
      </c>
      <c r="D21" s="132"/>
      <c r="E21" s="79">
        <f t="shared" si="0"/>
        <v>0</v>
      </c>
      <c r="F21" s="132"/>
      <c r="G21" s="79">
        <f t="shared" si="1"/>
        <v>0</v>
      </c>
    </row>
    <row r="22" spans="2:7" x14ac:dyDescent="0.15">
      <c r="B22" s="145" t="s">
        <v>322</v>
      </c>
      <c r="C22" s="79">
        <f>'5a-OpExYear1'!O24</f>
        <v>0</v>
      </c>
      <c r="D22" s="132"/>
      <c r="E22" s="79">
        <f t="shared" si="0"/>
        <v>0</v>
      </c>
      <c r="F22" s="132"/>
      <c r="G22" s="79">
        <f t="shared" si="1"/>
        <v>0</v>
      </c>
    </row>
    <row r="23" spans="2:7" x14ac:dyDescent="0.15">
      <c r="B23" s="284" t="s">
        <v>17</v>
      </c>
      <c r="C23" s="50">
        <f>SUM(C8:C22)</f>
        <v>0</v>
      </c>
      <c r="D23" s="132"/>
      <c r="E23" s="50">
        <f>SUM(E8:E22)</f>
        <v>0</v>
      </c>
      <c r="F23" s="132"/>
      <c r="G23" s="50">
        <f>SUM(G8:G22)</f>
        <v>0</v>
      </c>
    </row>
    <row r="24" spans="2:7" x14ac:dyDescent="0.15">
      <c r="B24" s="145"/>
      <c r="C24" s="79"/>
      <c r="D24" s="80"/>
      <c r="E24" s="79"/>
      <c r="F24" s="80"/>
      <c r="G24" s="79"/>
    </row>
    <row r="25" spans="2:7" x14ac:dyDescent="0.15">
      <c r="B25" s="48" t="s">
        <v>131</v>
      </c>
      <c r="C25" s="79"/>
      <c r="D25" s="80"/>
      <c r="E25" s="79"/>
      <c r="F25" s="80"/>
      <c r="G25" s="79"/>
    </row>
    <row r="26" spans="2:7" x14ac:dyDescent="0.15">
      <c r="B26" s="148" t="s">
        <v>139</v>
      </c>
      <c r="C26" s="154">
        <f>'5a-OpExYear1'!O28</f>
        <v>0</v>
      </c>
      <c r="D26" s="155"/>
      <c r="E26" s="79">
        <f>'Amortization&amp;Depreciation'!O123</f>
        <v>0</v>
      </c>
      <c r="F26" s="155"/>
      <c r="G26" s="79">
        <f>'Amortization&amp;Depreciation'!O127</f>
        <v>0</v>
      </c>
    </row>
    <row r="27" spans="2:7" x14ac:dyDescent="0.15">
      <c r="B27" s="148" t="s">
        <v>58</v>
      </c>
      <c r="C27" s="156"/>
      <c r="D27" s="155"/>
      <c r="E27" s="79"/>
      <c r="F27" s="155"/>
      <c r="G27" s="79"/>
    </row>
    <row r="28" spans="2:7" x14ac:dyDescent="0.15">
      <c r="B28" s="149" t="s">
        <v>54</v>
      </c>
      <c r="C28" s="154">
        <f>'5a-OpExYear1'!O30</f>
        <v>0</v>
      </c>
      <c r="D28" s="155"/>
      <c r="E28" s="79">
        <f>IF('1-StartingPoint'!$F37&lt;36, 0, 'Amortization&amp;Depreciation'!O19)</f>
        <v>0</v>
      </c>
      <c r="F28" s="155"/>
      <c r="G28" s="79">
        <f>IF('1-StartingPoint'!$F37&lt;36, 0, 'Amortization&amp;Depreciation'!O23)</f>
        <v>0</v>
      </c>
    </row>
    <row r="29" spans="2:7" x14ac:dyDescent="0.15">
      <c r="B29" s="149" t="s">
        <v>55</v>
      </c>
      <c r="C29" s="154" t="e">
        <f>'5a-OpExYear1'!O31</f>
        <v>#NUM!</v>
      </c>
      <c r="D29" s="155"/>
      <c r="E29" s="79">
        <f>IF('1-StartingPoint'!$F38&lt;36, 0, 'Amortization&amp;Depreciation'!O39)</f>
        <v>0</v>
      </c>
      <c r="F29" s="155"/>
      <c r="G29" s="79">
        <f>IF('1-StartingPoint'!$F38&lt;36, 0, 'Amortization&amp;Depreciation'!O43)</f>
        <v>0</v>
      </c>
    </row>
    <row r="30" spans="2:7" x14ac:dyDescent="0.15">
      <c r="B30" s="149" t="s">
        <v>133</v>
      </c>
      <c r="C30" s="154" t="e">
        <f>'5a-OpExYear1'!O32</f>
        <v>#NUM!</v>
      </c>
      <c r="D30" s="155"/>
      <c r="E30" s="79">
        <f>IF('1-StartingPoint'!$F39&lt;36, 0, 'Amortization&amp;Depreciation'!O59)</f>
        <v>0</v>
      </c>
      <c r="F30" s="155"/>
      <c r="G30" s="79">
        <f>IF('1-StartingPoint'!$F39&lt;36, 0, 'Amortization&amp;Depreciation'!O63)</f>
        <v>0</v>
      </c>
    </row>
    <row r="31" spans="2:7" x14ac:dyDescent="0.15">
      <c r="B31" s="149" t="s">
        <v>134</v>
      </c>
      <c r="C31" s="154" t="e">
        <f>'5a-OpExYear1'!O33</f>
        <v>#NUM!</v>
      </c>
      <c r="D31" s="155"/>
      <c r="E31" s="79">
        <f>IF('1-StartingPoint'!$F40&lt;36, 0, 'Amortization&amp;Depreciation'!O79)</f>
        <v>0</v>
      </c>
      <c r="F31" s="155"/>
      <c r="G31" s="79">
        <f>IF('1-StartingPoint'!$F40&lt;36, 0, 'Amortization&amp;Depreciation'!O83)</f>
        <v>0</v>
      </c>
    </row>
    <row r="32" spans="2:7" x14ac:dyDescent="0.15">
      <c r="B32" s="149" t="s">
        <v>135</v>
      </c>
      <c r="C32" s="154" t="e">
        <f>'5a-OpExYear1'!O34</f>
        <v>#NUM!</v>
      </c>
      <c r="D32" s="155"/>
      <c r="E32" s="79">
        <f>IF('1-StartingPoint'!$F41&lt;36, 0, 'Amortization&amp;Depreciation'!O99)</f>
        <v>0</v>
      </c>
      <c r="F32" s="155"/>
      <c r="G32" s="79">
        <f>IF('1-StartingPoint'!$F41&lt;36, 0, 'Amortization&amp;Depreciation'!O103)</f>
        <v>0</v>
      </c>
    </row>
    <row r="33" spans="2:7" x14ac:dyDescent="0.15">
      <c r="B33" s="149" t="s">
        <v>243</v>
      </c>
      <c r="C33" s="154" t="e">
        <f>+'6a-CashFlowYear1'!O26</f>
        <v>#DIV/0!</v>
      </c>
      <c r="D33" s="155"/>
      <c r="E33" s="157" t="e">
        <f>+'6b-CashFlowYrs1-3'!O25</f>
        <v>#DIV/0!</v>
      </c>
      <c r="F33" s="155"/>
      <c r="G33" s="288" t="e">
        <f>'6b-CashFlowYrs1-3'!AB25</f>
        <v>#DIV/0!</v>
      </c>
    </row>
    <row r="34" spans="2:7" x14ac:dyDescent="0.15">
      <c r="B34" s="148" t="s">
        <v>267</v>
      </c>
      <c r="C34" s="158" t="e">
        <f>+'5a-OpExYear1'!O36</f>
        <v>#DIV/0!</v>
      </c>
      <c r="D34" s="155"/>
      <c r="E34" s="157"/>
      <c r="F34" s="155"/>
      <c r="G34" s="157"/>
    </row>
    <row r="35" spans="2:7" x14ac:dyDescent="0.15">
      <c r="B35" s="159" t="s">
        <v>148</v>
      </c>
      <c r="C35" s="285" t="e">
        <f>SUM(C26:C34)</f>
        <v>#NUM!</v>
      </c>
      <c r="D35" s="155"/>
      <c r="E35" s="286" t="e">
        <f>SUM(E26:E34)</f>
        <v>#DIV/0!</v>
      </c>
      <c r="F35" s="155"/>
      <c r="G35" s="286" t="e">
        <f>SUM(G26:G34)</f>
        <v>#DIV/0!</v>
      </c>
    </row>
    <row r="36" spans="2:7" x14ac:dyDescent="0.15">
      <c r="B36" s="24" t="s">
        <v>212</v>
      </c>
      <c r="C36" s="287" t="e">
        <f>SUM(C8:C22)+C35</f>
        <v>#NUM!</v>
      </c>
      <c r="D36" s="7"/>
      <c r="E36" s="287" t="e">
        <f>SUM(E8:E22)+E35</f>
        <v>#DIV/0!</v>
      </c>
      <c r="F36" s="7"/>
      <c r="G36" s="287" t="e">
        <f>SUM(G8:G22)+G35</f>
        <v>#DIV/0!</v>
      </c>
    </row>
  </sheetData>
  <sheetProtection password="CC3D" sheet="1" objects="1" scenarios="1" formatColumns="0" formatRows="0"/>
  <mergeCells count="2">
    <mergeCell ref="C5:F5"/>
    <mergeCell ref="B2:C2"/>
  </mergeCells>
  <phoneticPr fontId="3" type="noConversion"/>
  <conditionalFormatting sqref="E26 G26">
    <cfRule type="containsBlanks" dxfId="56" priority="3">
      <formula>LEN(TRIM(E26))=0</formula>
    </cfRule>
  </conditionalFormatting>
  <printOptions horizontalCentered="1"/>
  <pageMargins left="0.25" right="0.25" top="0.75" bottom="0.75" header="0.3" footer="0.3"/>
  <pageSetup scale="94" orientation="landscape"/>
  <headerFooter scaleWithDoc="0">
    <oddHeader>&amp;C&amp;"Gill Sans MT,Regular"&amp;12Operating Expenses Years 1-3</oddHeader>
    <oddFooter>&amp;L&amp;"Gill Sans MT,Regular"&amp;12&amp;F&amp;C&amp;"Gill Sans MT,Regular"&amp;12&amp;A&amp;R&amp;"Gill Sans MT,Regular"&amp;12&amp;D &amp;T</oddFooter>
  </headerFooter>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C95B"/>
    <pageSetUpPr fitToPage="1"/>
  </sheetPr>
  <dimension ref="B2:Q34"/>
  <sheetViews>
    <sheetView workbookViewId="0">
      <selection activeCell="F29" sqref="F29"/>
    </sheetView>
  </sheetViews>
  <sheetFormatPr baseColWidth="10" defaultColWidth="8.83203125" defaultRowHeight="12" x14ac:dyDescent="0.15"/>
  <cols>
    <col min="1" max="1" width="11.5" style="43" customWidth="1"/>
    <col min="2" max="2" width="31.33203125" style="43" bestFit="1" customWidth="1"/>
    <col min="3" max="3" width="14.33203125" style="43" bestFit="1" customWidth="1"/>
    <col min="4" max="6" width="11" style="43" bestFit="1" customWidth="1"/>
    <col min="7" max="12" width="9.5" style="43" bestFit="1" customWidth="1"/>
    <col min="13" max="15" width="11" style="43" bestFit="1" customWidth="1"/>
    <col min="16" max="16" width="14.33203125" style="43" bestFit="1" customWidth="1"/>
    <col min="17" max="17" width="5.83203125" style="43" bestFit="1" customWidth="1"/>
    <col min="18" max="18" width="7.83203125" style="43" bestFit="1" customWidth="1"/>
    <col min="19" max="16384" width="8.83203125" style="43"/>
  </cols>
  <sheetData>
    <row r="2" spans="2:17" x14ac:dyDescent="0.15">
      <c r="B2" s="729" t="s">
        <v>313</v>
      </c>
      <c r="C2" s="729"/>
      <c r="E2" s="174"/>
      <c r="H2" s="174"/>
      <c r="P2" s="175"/>
      <c r="Q2" s="175"/>
    </row>
    <row r="3" spans="2:17" x14ac:dyDescent="0.15">
      <c r="H3" s="140"/>
    </row>
    <row r="4" spans="2:17" x14ac:dyDescent="0.15">
      <c r="B4" s="71" t="s">
        <v>119</v>
      </c>
      <c r="C4" s="71" t="s">
        <v>120</v>
      </c>
      <c r="H4" s="140"/>
    </row>
    <row r="5" spans="2:17" x14ac:dyDescent="0.15">
      <c r="B5" s="43" t="str">
        <f>IF(ISBLANK(Directions!C6), "Owner", Directions!C6)</f>
        <v>Owner</v>
      </c>
      <c r="C5" s="43" t="str">
        <f>IF(ISBLANK(Directions!D6), "Company 1", Directions!D6)</f>
        <v>Company 1</v>
      </c>
      <c r="H5" s="140"/>
    </row>
    <row r="7" spans="2:17" ht="14" thickBot="1" x14ac:dyDescent="0.2">
      <c r="B7" s="326"/>
      <c r="C7" s="326" t="str">
        <f>SalesForecastYear1!C23</f>
        <v xml:space="preserve"> Aug</v>
      </c>
      <c r="D7" s="326" t="str">
        <f>SalesForecastYear1!D23</f>
        <v>Sep</v>
      </c>
      <c r="E7" s="326" t="str">
        <f>SalesForecastYear1!E23</f>
        <v>Oct</v>
      </c>
      <c r="F7" s="326" t="str">
        <f>SalesForecastYear1!F23</f>
        <v>Nov</v>
      </c>
      <c r="G7" s="326" t="str">
        <f>SalesForecastYear1!G23</f>
        <v>Dec</v>
      </c>
      <c r="H7" s="326" t="str">
        <f>SalesForecastYear1!H23</f>
        <v>Jan</v>
      </c>
      <c r="I7" s="326" t="str">
        <f>SalesForecastYear1!I23</f>
        <v>Feb</v>
      </c>
      <c r="J7" s="326" t="str">
        <f>SalesForecastYear1!J23</f>
        <v>Mar</v>
      </c>
      <c r="K7" s="326" t="str">
        <f>SalesForecastYear1!K23</f>
        <v>Apr</v>
      </c>
      <c r="L7" s="326" t="str">
        <f>SalesForecastYear1!L23</f>
        <v>May</v>
      </c>
      <c r="M7" s="326" t="str">
        <f>SalesForecastYear1!M23</f>
        <v>Jun</v>
      </c>
      <c r="N7" s="326" t="str">
        <f>SalesForecastYear1!N23</f>
        <v>Jul</v>
      </c>
      <c r="O7" s="326" t="s">
        <v>8</v>
      </c>
    </row>
    <row r="8" spans="2:17" ht="13" thickTop="1" x14ac:dyDescent="0.15">
      <c r="B8" s="328" t="s">
        <v>84</v>
      </c>
      <c r="C8" s="286">
        <f>Working_Capital</f>
        <v>0</v>
      </c>
      <c r="D8" s="286" t="e">
        <f t="shared" ref="D8:N8" si="0">C33</f>
        <v>#DIV/0!</v>
      </c>
      <c r="E8" s="286" t="e">
        <f t="shared" si="0"/>
        <v>#DIV/0!</v>
      </c>
      <c r="F8" s="286" t="e">
        <f t="shared" si="0"/>
        <v>#DIV/0!</v>
      </c>
      <c r="G8" s="286" t="e">
        <f t="shared" si="0"/>
        <v>#DIV/0!</v>
      </c>
      <c r="H8" s="286" t="e">
        <f t="shared" si="0"/>
        <v>#DIV/0!</v>
      </c>
      <c r="I8" s="286" t="e">
        <f t="shared" si="0"/>
        <v>#DIV/0!</v>
      </c>
      <c r="J8" s="286" t="e">
        <f t="shared" si="0"/>
        <v>#DIV/0!</v>
      </c>
      <c r="K8" s="286" t="e">
        <f t="shared" si="0"/>
        <v>#DIV/0!</v>
      </c>
      <c r="L8" s="286" t="e">
        <f t="shared" si="0"/>
        <v>#DIV/0!</v>
      </c>
      <c r="M8" s="286" t="e">
        <f t="shared" si="0"/>
        <v>#DIV/0!</v>
      </c>
      <c r="N8" s="286" t="e">
        <f t="shared" si="0"/>
        <v>#DIV/0!</v>
      </c>
      <c r="O8" s="329"/>
    </row>
    <row r="9" spans="2:17" x14ac:dyDescent="0.15">
      <c r="B9" s="44" t="s">
        <v>21</v>
      </c>
      <c r="C9" s="46"/>
      <c r="D9" s="46"/>
      <c r="E9" s="46"/>
      <c r="F9" s="46"/>
      <c r="G9" s="46"/>
      <c r="H9" s="46"/>
      <c r="I9" s="46"/>
      <c r="J9" s="46"/>
      <c r="K9" s="46"/>
      <c r="L9" s="46"/>
      <c r="M9" s="46"/>
      <c r="N9" s="46"/>
      <c r="O9" s="46"/>
    </row>
    <row r="10" spans="2:17" x14ac:dyDescent="0.15">
      <c r="B10" s="176" t="s">
        <v>115</v>
      </c>
      <c r="C10" s="177" t="e">
        <f>SalesForecastYear1!C122*'4-AdditionalInputs'!$C$9</f>
        <v>#DIV/0!</v>
      </c>
      <c r="D10" s="79" t="e">
        <f>SalesForecastYear1!D122*'4-AdditionalInputs'!$C$9</f>
        <v>#DIV/0!</v>
      </c>
      <c r="E10" s="79" t="e">
        <f>SalesForecastYear1!E122*'4-AdditionalInputs'!$C$9</f>
        <v>#DIV/0!</v>
      </c>
      <c r="F10" s="79" t="e">
        <f>SalesForecastYear1!F122*'4-AdditionalInputs'!$C$9</f>
        <v>#DIV/0!</v>
      </c>
      <c r="G10" s="79" t="e">
        <f>SalesForecastYear1!G122*'4-AdditionalInputs'!$C$9</f>
        <v>#DIV/0!</v>
      </c>
      <c r="H10" s="79" t="e">
        <f>SalesForecastYear1!H122*'4-AdditionalInputs'!$C$9</f>
        <v>#DIV/0!</v>
      </c>
      <c r="I10" s="79" t="e">
        <f>SalesForecastYear1!I122*'4-AdditionalInputs'!$C$9</f>
        <v>#DIV/0!</v>
      </c>
      <c r="J10" s="79" t="e">
        <f>SalesForecastYear1!J122*'4-AdditionalInputs'!$C$9</f>
        <v>#DIV/0!</v>
      </c>
      <c r="K10" s="79" t="e">
        <f>SalesForecastYear1!K122*'4-AdditionalInputs'!$C$9</f>
        <v>#DIV/0!</v>
      </c>
      <c r="L10" s="79" t="e">
        <f>SalesForecastYear1!L122*'4-AdditionalInputs'!$C$9</f>
        <v>#DIV/0!</v>
      </c>
      <c r="M10" s="79" t="e">
        <f>SalesForecastYear1!M122*'4-AdditionalInputs'!$C$9</f>
        <v>#DIV/0!</v>
      </c>
      <c r="N10" s="79" t="e">
        <f>SalesForecastYear1!N122*'4-AdditionalInputs'!$C$9</f>
        <v>#DIV/0!</v>
      </c>
      <c r="O10" s="50" t="e">
        <f>SUM(C10:N10)</f>
        <v>#DIV/0!</v>
      </c>
    </row>
    <row r="11" spans="2:17" x14ac:dyDescent="0.15">
      <c r="B11" s="176" t="s">
        <v>213</v>
      </c>
      <c r="C11" s="79">
        <v>0</v>
      </c>
      <c r="D11" s="79" t="e">
        <f>(SalesForecastYear1!C122*'4-AdditionalInputs'!$C$10)</f>
        <v>#DIV/0!</v>
      </c>
      <c r="E11" s="79" t="e">
        <f>(SalesForecastYear1!D122*'4-AdditionalInputs'!$C$10)+(SalesForecastYear1!C122*'4-AdditionalInputs'!$C$11)</f>
        <v>#DIV/0!</v>
      </c>
      <c r="F11" s="79" t="e">
        <f>(SalesForecastYear1!E122*'4-AdditionalInputs'!$C$10)+(SalesForecastYear1!D122*'4-AdditionalInputs'!$C$11)</f>
        <v>#DIV/0!</v>
      </c>
      <c r="G11" s="79" t="e">
        <f>(SalesForecastYear1!F122*'4-AdditionalInputs'!$C$10)+(SalesForecastYear1!E122*'4-AdditionalInputs'!$C$11)</f>
        <v>#DIV/0!</v>
      </c>
      <c r="H11" s="79" t="e">
        <f>(SalesForecastYear1!G122*'4-AdditionalInputs'!$C$10)+(SalesForecastYear1!F122*'4-AdditionalInputs'!$C$11)</f>
        <v>#DIV/0!</v>
      </c>
      <c r="I11" s="79" t="e">
        <f>(SalesForecastYear1!H122*'4-AdditionalInputs'!$C$10)+(SalesForecastYear1!G122*'4-AdditionalInputs'!$C$11)</f>
        <v>#DIV/0!</v>
      </c>
      <c r="J11" s="79" t="e">
        <f>(SalesForecastYear1!I122*'4-AdditionalInputs'!$C$10)+(SalesForecastYear1!H122*'4-AdditionalInputs'!$C$11)</f>
        <v>#DIV/0!</v>
      </c>
      <c r="K11" s="79" t="e">
        <f>(SalesForecastYear1!J122*'4-AdditionalInputs'!$C$10)+(SalesForecastYear1!I122*'4-AdditionalInputs'!$C$11)</f>
        <v>#DIV/0!</v>
      </c>
      <c r="L11" s="79" t="e">
        <f>(SalesForecastYear1!K122*'4-AdditionalInputs'!$C$10)+(SalesForecastYear1!J122*'4-AdditionalInputs'!$C$11)</f>
        <v>#DIV/0!</v>
      </c>
      <c r="M11" s="79" t="e">
        <f>(SalesForecastYear1!L122*'4-AdditionalInputs'!$C$10)+(SalesForecastYear1!K122*'4-AdditionalInputs'!$C$11)</f>
        <v>#DIV/0!</v>
      </c>
      <c r="N11" s="79" t="e">
        <f>(SalesForecastYear1!M122*'4-AdditionalInputs'!$C$10)+(SalesForecastYear1!L122*'4-AdditionalInputs'!$C$11)</f>
        <v>#DIV/0!</v>
      </c>
      <c r="O11" s="50" t="e">
        <f>SUM(C11:N11)</f>
        <v>#DIV/0!</v>
      </c>
    </row>
    <row r="12" spans="2:17" x14ac:dyDescent="0.15">
      <c r="B12" s="24" t="s">
        <v>22</v>
      </c>
      <c r="C12" s="50" t="e">
        <f>SUM(C10:C11)</f>
        <v>#DIV/0!</v>
      </c>
      <c r="D12" s="50" t="e">
        <f t="shared" ref="D12:N12" si="1">SUM(D10:D11)</f>
        <v>#DIV/0!</v>
      </c>
      <c r="E12" s="50" t="e">
        <f t="shared" si="1"/>
        <v>#DIV/0!</v>
      </c>
      <c r="F12" s="50" t="e">
        <f t="shared" si="1"/>
        <v>#DIV/0!</v>
      </c>
      <c r="G12" s="50" t="e">
        <f t="shared" si="1"/>
        <v>#DIV/0!</v>
      </c>
      <c r="H12" s="50" t="e">
        <f t="shared" si="1"/>
        <v>#DIV/0!</v>
      </c>
      <c r="I12" s="50" t="e">
        <f t="shared" si="1"/>
        <v>#DIV/0!</v>
      </c>
      <c r="J12" s="50" t="e">
        <f t="shared" si="1"/>
        <v>#DIV/0!</v>
      </c>
      <c r="K12" s="50" t="e">
        <f t="shared" si="1"/>
        <v>#DIV/0!</v>
      </c>
      <c r="L12" s="50" t="e">
        <f t="shared" si="1"/>
        <v>#DIV/0!</v>
      </c>
      <c r="M12" s="50" t="e">
        <f t="shared" si="1"/>
        <v>#DIV/0!</v>
      </c>
      <c r="N12" s="50" t="e">
        <f t="shared" si="1"/>
        <v>#DIV/0!</v>
      </c>
      <c r="O12" s="50" t="e">
        <f>SUM(O10:O11)</f>
        <v>#DIV/0!</v>
      </c>
    </row>
    <row r="13" spans="2:17" x14ac:dyDescent="0.15">
      <c r="B13" s="24"/>
      <c r="C13" s="79"/>
      <c r="D13" s="79"/>
      <c r="E13" s="79"/>
      <c r="F13" s="79"/>
      <c r="G13" s="79"/>
      <c r="H13" s="79"/>
      <c r="I13" s="79"/>
      <c r="J13" s="79"/>
      <c r="K13" s="79"/>
      <c r="L13" s="79"/>
      <c r="M13" s="79"/>
      <c r="N13" s="79"/>
      <c r="O13" s="50"/>
    </row>
    <row r="14" spans="2:17" x14ac:dyDescent="0.15">
      <c r="B14" s="44" t="s">
        <v>23</v>
      </c>
      <c r="C14" s="79"/>
      <c r="D14" s="79"/>
      <c r="E14" s="79"/>
      <c r="F14" s="79"/>
      <c r="G14" s="79"/>
      <c r="H14" s="79"/>
      <c r="I14" s="79"/>
      <c r="J14" s="79"/>
      <c r="K14" s="79"/>
      <c r="L14" s="79"/>
      <c r="M14" s="79"/>
      <c r="N14" s="79"/>
      <c r="O14" s="50"/>
    </row>
    <row r="15" spans="2:17" x14ac:dyDescent="0.15">
      <c r="B15" s="176" t="s">
        <v>24</v>
      </c>
      <c r="C15" s="79"/>
      <c r="D15" s="79"/>
      <c r="E15" s="79"/>
      <c r="F15" s="79"/>
      <c r="G15" s="79"/>
      <c r="H15" s="79"/>
      <c r="I15" s="79"/>
      <c r="J15" s="79"/>
      <c r="K15" s="79"/>
      <c r="L15" s="79"/>
      <c r="M15" s="79"/>
      <c r="N15" s="79"/>
      <c r="O15" s="50"/>
    </row>
    <row r="16" spans="2:17" x14ac:dyDescent="0.15">
      <c r="B16" s="178" t="s">
        <v>270</v>
      </c>
      <c r="C16" s="79">
        <v>0</v>
      </c>
      <c r="D16" s="79">
        <f>'4-AdditionalInputs'!E35</f>
        <v>0</v>
      </c>
      <c r="E16" s="79">
        <f>'4-AdditionalInputs'!F35</f>
        <v>0</v>
      </c>
      <c r="F16" s="79">
        <f>'4-AdditionalInputs'!G35</f>
        <v>0</v>
      </c>
      <c r="G16" s="79">
        <f>'4-AdditionalInputs'!H35</f>
        <v>0</v>
      </c>
      <c r="H16" s="79">
        <f>'4-AdditionalInputs'!I35</f>
        <v>0</v>
      </c>
      <c r="I16" s="79">
        <f>'4-AdditionalInputs'!J35</f>
        <v>0</v>
      </c>
      <c r="J16" s="79">
        <f>'4-AdditionalInputs'!K35</f>
        <v>0</v>
      </c>
      <c r="K16" s="79">
        <f>'4-AdditionalInputs'!L35</f>
        <v>0</v>
      </c>
      <c r="L16" s="79">
        <f>'4-AdditionalInputs'!M35</f>
        <v>0</v>
      </c>
      <c r="M16" s="79">
        <f>'4-AdditionalInputs'!N35</f>
        <v>0</v>
      </c>
      <c r="N16" s="79">
        <f>'4-AdditionalInputs'!O35</f>
        <v>0</v>
      </c>
      <c r="O16" s="50">
        <f>SUM(C16:N16)</f>
        <v>0</v>
      </c>
    </row>
    <row r="17" spans="2:15" x14ac:dyDescent="0.15">
      <c r="B17" s="178" t="s">
        <v>271</v>
      </c>
      <c r="C17" s="146"/>
      <c r="D17" s="146"/>
      <c r="E17" s="146"/>
      <c r="F17" s="146"/>
      <c r="G17" s="146"/>
      <c r="H17" s="146"/>
      <c r="I17" s="146"/>
      <c r="J17" s="146"/>
      <c r="K17" s="146"/>
      <c r="L17" s="146"/>
      <c r="M17" s="146"/>
      <c r="N17" s="146"/>
      <c r="O17" s="50">
        <f>SUM(C17:N17)</f>
        <v>0</v>
      </c>
    </row>
    <row r="18" spans="2:15" x14ac:dyDescent="0.15">
      <c r="B18" s="178" t="s">
        <v>29</v>
      </c>
      <c r="C18" s="79" t="e">
        <f>SalesForecastYear1!#REF!*'4-AdditionalInputs'!$C$17</f>
        <v>#REF!</v>
      </c>
      <c r="D18" s="79" t="e">
        <f>(SalesForecastYear1!#REF!*'4-AdditionalInputs'!$C$17)+(SalesForecastYear1!#REF!*'4-AdditionalInputs'!$C$18)</f>
        <v>#REF!</v>
      </c>
      <c r="E18" s="79" t="e">
        <f>(SalesForecastYear1!#REF!*'4-AdditionalInputs'!$C$17)+(SalesForecastYear1!#REF!*'4-AdditionalInputs'!$C$18)+(SalesForecastYear1!#REF!*'4-AdditionalInputs'!$C$19)</f>
        <v>#REF!</v>
      </c>
      <c r="F18" s="79" t="e">
        <f>(SalesForecastYear1!#REF!*'4-AdditionalInputs'!$C$17)+(SalesForecastYear1!#REF!*'4-AdditionalInputs'!$C$18)+(SalesForecastYear1!#REF!*'4-AdditionalInputs'!$C$19)</f>
        <v>#REF!</v>
      </c>
      <c r="G18" s="79" t="e">
        <f>(SalesForecastYear1!#REF!*'4-AdditionalInputs'!$C$17)+(SalesForecastYear1!#REF!*'4-AdditionalInputs'!$C$18)+(SalesForecastYear1!#REF!*'4-AdditionalInputs'!$C$19)</f>
        <v>#REF!</v>
      </c>
      <c r="H18" s="79" t="e">
        <f>(SalesForecastYear1!#REF!*'4-AdditionalInputs'!$C$17)+(SalesForecastYear1!#REF!*'4-AdditionalInputs'!$C$18)+(SalesForecastYear1!#REF!*'4-AdditionalInputs'!$C$19)</f>
        <v>#REF!</v>
      </c>
      <c r="I18" s="79" t="e">
        <f>(SalesForecastYear1!#REF!*'4-AdditionalInputs'!$C$17)+(SalesForecastYear1!#REF!*'4-AdditionalInputs'!$C$18)+(SalesForecastYear1!#REF!*'4-AdditionalInputs'!$C$19)</f>
        <v>#REF!</v>
      </c>
      <c r="J18" s="79" t="e">
        <f>(SalesForecastYear1!#REF!*'4-AdditionalInputs'!$C$17)+(SalesForecastYear1!#REF!*'4-AdditionalInputs'!$C$18)+(SalesForecastYear1!#REF!*'4-AdditionalInputs'!$C$19)</f>
        <v>#REF!</v>
      </c>
      <c r="K18" s="79" t="e">
        <f>(SalesForecastYear1!#REF!*'4-AdditionalInputs'!$C$17)+(SalesForecastYear1!#REF!*'4-AdditionalInputs'!$C$18)+(SalesForecastYear1!#REF!*'4-AdditionalInputs'!$C$19)</f>
        <v>#REF!</v>
      </c>
      <c r="L18" s="79" t="e">
        <f>(SalesForecastYear1!#REF!*'4-AdditionalInputs'!$C$17)+(SalesForecastYear1!#REF!*'4-AdditionalInputs'!$C$18)+(SalesForecastYear1!#REF!*'4-AdditionalInputs'!$C$19)</f>
        <v>#REF!</v>
      </c>
      <c r="M18" s="79" t="e">
        <f>(SalesForecastYear1!#REF!*'4-AdditionalInputs'!$C$17)+(SalesForecastYear1!#REF!*'4-AdditionalInputs'!$C$18)+(SalesForecastYear1!#REF!*'4-AdditionalInputs'!$C$19)</f>
        <v>#REF!</v>
      </c>
      <c r="N18" s="79" t="e">
        <f>(SalesForecastYear1!#REF!*'4-AdditionalInputs'!$C$17)+(SalesForecastYear1!#REF!*'4-AdditionalInputs'!$C$18)+(SalesForecastYear1!#REF!*'4-AdditionalInputs'!$C$19)</f>
        <v>#REF!</v>
      </c>
      <c r="O18" s="50" t="e">
        <f>SUM(C18:N18)</f>
        <v>#REF!</v>
      </c>
    </row>
    <row r="19" spans="2:15" x14ac:dyDescent="0.15">
      <c r="B19" s="176" t="s">
        <v>248</v>
      </c>
      <c r="C19" s="79"/>
      <c r="D19" s="79"/>
      <c r="E19" s="79"/>
      <c r="F19" s="79"/>
      <c r="G19" s="79"/>
      <c r="H19" s="79"/>
      <c r="I19" s="79"/>
      <c r="J19" s="79"/>
      <c r="K19" s="79"/>
      <c r="L19" s="79"/>
      <c r="M19" s="79"/>
      <c r="N19" s="79"/>
      <c r="O19" s="50"/>
    </row>
    <row r="20" spans="2:15" x14ac:dyDescent="0.15">
      <c r="B20" s="178" t="s">
        <v>125</v>
      </c>
      <c r="C20" s="79">
        <f>'5a-OpExYear1'!C25</f>
        <v>0</v>
      </c>
      <c r="D20" s="79">
        <f>'5a-OpExYear1'!D25</f>
        <v>0</v>
      </c>
      <c r="E20" s="79">
        <f>'5a-OpExYear1'!E25</f>
        <v>0</v>
      </c>
      <c r="F20" s="79">
        <f>'5a-OpExYear1'!F25</f>
        <v>0</v>
      </c>
      <c r="G20" s="79">
        <f>'5a-OpExYear1'!G25</f>
        <v>0</v>
      </c>
      <c r="H20" s="79">
        <f>'5a-OpExYear1'!H25</f>
        <v>0</v>
      </c>
      <c r="I20" s="79">
        <f>'5a-OpExYear1'!I25</f>
        <v>0</v>
      </c>
      <c r="J20" s="79">
        <f>'5a-OpExYear1'!J25</f>
        <v>0</v>
      </c>
      <c r="K20" s="79">
        <f>'5a-OpExYear1'!K25</f>
        <v>0</v>
      </c>
      <c r="L20" s="79">
        <f>'5a-OpExYear1'!L25</f>
        <v>0</v>
      </c>
      <c r="M20" s="79">
        <f>'5a-OpExYear1'!M25</f>
        <v>0</v>
      </c>
      <c r="N20" s="79">
        <f>'5a-OpExYear1'!N25</f>
        <v>0</v>
      </c>
      <c r="O20" s="50">
        <f t="shared" ref="O20:O22" si="2">SUM(C20:N20)</f>
        <v>0</v>
      </c>
    </row>
    <row r="21" spans="2:15" x14ac:dyDescent="0.15">
      <c r="B21" s="178" t="s">
        <v>202</v>
      </c>
      <c r="C21" s="79">
        <f>'2a-PayrollYear1'!F25</f>
        <v>0</v>
      </c>
      <c r="D21" s="79">
        <f>'2a-PayrollYear1'!G25</f>
        <v>0</v>
      </c>
      <c r="E21" s="79">
        <f>'2a-PayrollYear1'!H25</f>
        <v>0</v>
      </c>
      <c r="F21" s="79">
        <f>'2a-PayrollYear1'!I25</f>
        <v>0</v>
      </c>
      <c r="G21" s="79">
        <f>'2a-PayrollYear1'!J25</f>
        <v>0</v>
      </c>
      <c r="H21" s="79">
        <f>'2a-PayrollYear1'!K25</f>
        <v>0</v>
      </c>
      <c r="I21" s="79">
        <f>'2a-PayrollYear1'!L25</f>
        <v>0</v>
      </c>
      <c r="J21" s="79">
        <f>'2a-PayrollYear1'!M25</f>
        <v>0</v>
      </c>
      <c r="K21" s="79">
        <f>'2a-PayrollYear1'!N25</f>
        <v>0</v>
      </c>
      <c r="L21" s="79">
        <f>'2a-PayrollYear1'!O25</f>
        <v>0</v>
      </c>
      <c r="M21" s="79">
        <f>'2a-PayrollYear1'!P25</f>
        <v>0</v>
      </c>
      <c r="N21" s="79">
        <f>'2a-PayrollYear1'!Q25</f>
        <v>0</v>
      </c>
      <c r="O21" s="50">
        <f t="shared" si="2"/>
        <v>0</v>
      </c>
    </row>
    <row r="22" spans="2:15" x14ac:dyDescent="0.15">
      <c r="B22" s="178" t="s">
        <v>150</v>
      </c>
      <c r="C22" s="79">
        <v>0</v>
      </c>
      <c r="D22" s="79">
        <v>0</v>
      </c>
      <c r="E22" s="79" t="e">
        <f>SUM('7a-IncomeStatementYear1'!C67:E67)</f>
        <v>#REF!</v>
      </c>
      <c r="F22" s="79">
        <v>0</v>
      </c>
      <c r="G22" s="79">
        <v>0</v>
      </c>
      <c r="H22" s="79" t="e">
        <f>SUM('7a-IncomeStatementYear1'!F67:H67)</f>
        <v>#REF!</v>
      </c>
      <c r="I22" s="79">
        <v>0</v>
      </c>
      <c r="J22" s="79">
        <v>0</v>
      </c>
      <c r="K22" s="79" t="e">
        <f>SUM('7a-IncomeStatementYear1'!I67:K67)</f>
        <v>#REF!</v>
      </c>
      <c r="L22" s="79">
        <v>0</v>
      </c>
      <c r="M22" s="79">
        <v>0</v>
      </c>
      <c r="N22" s="79" t="e">
        <f>SUM('7a-IncomeStatementYear1'!L67:N67)</f>
        <v>#REF!</v>
      </c>
      <c r="O22" s="50" t="e">
        <f t="shared" si="2"/>
        <v>#REF!</v>
      </c>
    </row>
    <row r="23" spans="2:15" x14ac:dyDescent="0.15">
      <c r="B23" s="176" t="s">
        <v>25</v>
      </c>
      <c r="C23" s="79"/>
      <c r="D23" s="79"/>
      <c r="E23" s="79"/>
      <c r="F23" s="79"/>
      <c r="G23" s="79"/>
      <c r="H23" s="79"/>
      <c r="I23" s="79"/>
      <c r="J23" s="79"/>
      <c r="K23" s="79"/>
      <c r="L23" s="79"/>
      <c r="M23" s="79"/>
      <c r="N23" s="79"/>
      <c r="O23" s="50"/>
    </row>
    <row r="24" spans="2:15" x14ac:dyDescent="0.15">
      <c r="B24" s="178" t="s">
        <v>26</v>
      </c>
      <c r="C24" s="79" t="e">
        <f>SUM('Amortization&amp;Depreciation'!C15:C16)+SUM('Amortization&amp;Depreciation'!C35:C36)+SUM('Amortization&amp;Depreciation'!C55:C56)+SUM('Amortization&amp;Depreciation'!C75:C76)+SUM('Amortization&amp;Depreciation'!C95:C96)</f>
        <v>#NUM!</v>
      </c>
      <c r="D24" s="79" t="e">
        <f>SUM('Amortization&amp;Depreciation'!D15:D16)+SUM('Amortization&amp;Depreciation'!D35:D36)+SUM('Amortization&amp;Depreciation'!D55:D56)+SUM('Amortization&amp;Depreciation'!D75:D76)+SUM('Amortization&amp;Depreciation'!D95:D96)</f>
        <v>#NUM!</v>
      </c>
      <c r="E24" s="79" t="e">
        <f>SUM('Amortization&amp;Depreciation'!E15:E16)+SUM('Amortization&amp;Depreciation'!E35:E36)+SUM('Amortization&amp;Depreciation'!E55:E56)+SUM('Amortization&amp;Depreciation'!E75:E76)+SUM('Amortization&amp;Depreciation'!E95:E96)</f>
        <v>#NUM!</v>
      </c>
      <c r="F24" s="79" t="e">
        <f>SUM('Amortization&amp;Depreciation'!F15:F16)+SUM('Amortization&amp;Depreciation'!F35:F36)+SUM('Amortization&amp;Depreciation'!F55:F56)+SUM('Amortization&amp;Depreciation'!F75:F76)+SUM('Amortization&amp;Depreciation'!F95:F96)</f>
        <v>#NUM!</v>
      </c>
      <c r="G24" s="79" t="e">
        <f>SUM('Amortization&amp;Depreciation'!G15:G16)+SUM('Amortization&amp;Depreciation'!G35:G36)+SUM('Amortization&amp;Depreciation'!G55:G56)+SUM('Amortization&amp;Depreciation'!G75:G76)+SUM('Amortization&amp;Depreciation'!G95:G96)</f>
        <v>#NUM!</v>
      </c>
      <c r="H24" s="79" t="e">
        <f>SUM('Amortization&amp;Depreciation'!H15:H16)+SUM('Amortization&amp;Depreciation'!H35:H36)+SUM('Amortization&amp;Depreciation'!H55:H56)+SUM('Amortization&amp;Depreciation'!H75:H76)+SUM('Amortization&amp;Depreciation'!H95:H96)</f>
        <v>#NUM!</v>
      </c>
      <c r="I24" s="79" t="e">
        <f>SUM('Amortization&amp;Depreciation'!I15:I16)+SUM('Amortization&amp;Depreciation'!I35:I36)+SUM('Amortization&amp;Depreciation'!I55:I56)+SUM('Amortization&amp;Depreciation'!I75:I76)+SUM('Amortization&amp;Depreciation'!I95:I96)</f>
        <v>#NUM!</v>
      </c>
      <c r="J24" s="79" t="e">
        <f>SUM('Amortization&amp;Depreciation'!J15:J16)+SUM('Amortization&amp;Depreciation'!J35:J36)+SUM('Amortization&amp;Depreciation'!J55:J56)+SUM('Amortization&amp;Depreciation'!J75:J76)+SUM('Amortization&amp;Depreciation'!J95:J96)</f>
        <v>#NUM!</v>
      </c>
      <c r="K24" s="79" t="e">
        <f>SUM('Amortization&amp;Depreciation'!K15:K16)+SUM('Amortization&amp;Depreciation'!K35:K36)+SUM('Amortization&amp;Depreciation'!K55:K56)+SUM('Amortization&amp;Depreciation'!K75:K76)+SUM('Amortization&amp;Depreciation'!K95:K96)</f>
        <v>#NUM!</v>
      </c>
      <c r="L24" s="79" t="e">
        <f>SUM('Amortization&amp;Depreciation'!L15:L16)+SUM('Amortization&amp;Depreciation'!L35:L36)+SUM('Amortization&amp;Depreciation'!L55:L56)+SUM('Amortization&amp;Depreciation'!L75:L76)+SUM('Amortization&amp;Depreciation'!L95:L96)</f>
        <v>#NUM!</v>
      </c>
      <c r="M24" s="79" t="e">
        <f>SUM('Amortization&amp;Depreciation'!M15:M16)+SUM('Amortization&amp;Depreciation'!M35:M36)+SUM('Amortization&amp;Depreciation'!M55:M56)+SUM('Amortization&amp;Depreciation'!M75:M76)+SUM('Amortization&amp;Depreciation'!M95:M96)</f>
        <v>#NUM!</v>
      </c>
      <c r="N24" s="79" t="e">
        <f>SUM('Amortization&amp;Depreciation'!N15:N16)+SUM('Amortization&amp;Depreciation'!N35:N36)+SUM('Amortization&amp;Depreciation'!N55:N56)+SUM('Amortization&amp;Depreciation'!N75:N76)+SUM('Amortization&amp;Depreciation'!N95:N96)</f>
        <v>#NUM!</v>
      </c>
      <c r="O24" s="50" t="e">
        <f t="shared" ref="O24:O32" si="3">SUM(C24:N24)</f>
        <v>#NUM!</v>
      </c>
    </row>
    <row r="25" spans="2:15" x14ac:dyDescent="0.15">
      <c r="B25" s="178" t="s">
        <v>30</v>
      </c>
      <c r="C25" s="146"/>
      <c r="D25" s="146"/>
      <c r="E25" s="146"/>
      <c r="F25" s="146"/>
      <c r="G25" s="146"/>
      <c r="H25" s="146"/>
      <c r="I25" s="146"/>
      <c r="J25" s="146"/>
      <c r="K25" s="146"/>
      <c r="L25" s="146"/>
      <c r="M25" s="146"/>
      <c r="N25" s="146"/>
      <c r="O25" s="50">
        <f t="shared" si="3"/>
        <v>0</v>
      </c>
    </row>
    <row r="26" spans="2:15" x14ac:dyDescent="0.15">
      <c r="B26" s="178" t="s">
        <v>191</v>
      </c>
      <c r="C26" s="79"/>
      <c r="D26" s="79" t="e">
        <f>C34*'4-AdditionalInputs'!$D$25/12</f>
        <v>#DIV/0!</v>
      </c>
      <c r="E26" s="79" t="e">
        <f>D34*'4-AdditionalInputs'!$D$25/12</f>
        <v>#DIV/0!</v>
      </c>
      <c r="F26" s="79" t="e">
        <f>E34*'4-AdditionalInputs'!$D$25/12</f>
        <v>#DIV/0!</v>
      </c>
      <c r="G26" s="79" t="e">
        <f>F34*'4-AdditionalInputs'!$D$25/12</f>
        <v>#DIV/0!</v>
      </c>
      <c r="H26" s="79" t="e">
        <f>G34*'4-AdditionalInputs'!$D$25/12</f>
        <v>#DIV/0!</v>
      </c>
      <c r="I26" s="79" t="e">
        <f>H34*'4-AdditionalInputs'!$D$25/12</f>
        <v>#DIV/0!</v>
      </c>
      <c r="J26" s="79" t="e">
        <f>I34*'4-AdditionalInputs'!$D$25/12</f>
        <v>#DIV/0!</v>
      </c>
      <c r="K26" s="79" t="e">
        <f>J34*'4-AdditionalInputs'!$D$25/12</f>
        <v>#DIV/0!</v>
      </c>
      <c r="L26" s="79" t="e">
        <f>K34*'4-AdditionalInputs'!$D$25/12</f>
        <v>#DIV/0!</v>
      </c>
      <c r="M26" s="79" t="e">
        <f>L34*'4-AdditionalInputs'!$D$25/12</f>
        <v>#DIV/0!</v>
      </c>
      <c r="N26" s="79" t="e">
        <f>M34*'4-AdditionalInputs'!$D$25/12</f>
        <v>#DIV/0!</v>
      </c>
      <c r="O26" s="50" t="e">
        <f t="shared" si="3"/>
        <v>#DIV/0!</v>
      </c>
    </row>
    <row r="27" spans="2:15" x14ac:dyDescent="0.15">
      <c r="B27" s="178" t="s">
        <v>192</v>
      </c>
      <c r="C27" s="146"/>
      <c r="D27" s="146"/>
      <c r="E27" s="146"/>
      <c r="F27" s="146"/>
      <c r="G27" s="146"/>
      <c r="H27" s="146"/>
      <c r="I27" s="146"/>
      <c r="J27" s="146"/>
      <c r="K27" s="146"/>
      <c r="L27" s="146"/>
      <c r="M27" s="146"/>
      <c r="N27" s="146"/>
      <c r="O27" s="50">
        <f t="shared" si="3"/>
        <v>0</v>
      </c>
    </row>
    <row r="28" spans="2:15" x14ac:dyDescent="0.15">
      <c r="B28" s="178" t="s">
        <v>250</v>
      </c>
      <c r="C28" s="146"/>
      <c r="D28" s="146"/>
      <c r="E28" s="146"/>
      <c r="F28" s="146"/>
      <c r="G28" s="146"/>
      <c r="H28" s="146"/>
      <c r="I28" s="146"/>
      <c r="J28" s="146"/>
      <c r="K28" s="146"/>
      <c r="L28" s="146"/>
      <c r="M28" s="146"/>
      <c r="N28" s="146"/>
      <c r="O28" s="50">
        <f t="shared" si="3"/>
        <v>0</v>
      </c>
    </row>
    <row r="29" spans="2:15" x14ac:dyDescent="0.15">
      <c r="B29" s="179" t="s">
        <v>27</v>
      </c>
      <c r="C29" s="180" t="e">
        <f>SUM(C16:C28)</f>
        <v>#REF!</v>
      </c>
      <c r="D29" s="180" t="e">
        <f t="shared" ref="D29:N29" si="4">SUM(D16:D28)</f>
        <v>#REF!</v>
      </c>
      <c r="E29" s="180" t="e">
        <f t="shared" si="4"/>
        <v>#REF!</v>
      </c>
      <c r="F29" s="180" t="e">
        <f t="shared" si="4"/>
        <v>#REF!</v>
      </c>
      <c r="G29" s="180" t="e">
        <f t="shared" si="4"/>
        <v>#REF!</v>
      </c>
      <c r="H29" s="180" t="e">
        <f t="shared" si="4"/>
        <v>#REF!</v>
      </c>
      <c r="I29" s="180" t="e">
        <f t="shared" si="4"/>
        <v>#REF!</v>
      </c>
      <c r="J29" s="180" t="e">
        <f t="shared" si="4"/>
        <v>#REF!</v>
      </c>
      <c r="K29" s="180" t="e">
        <f t="shared" si="4"/>
        <v>#REF!</v>
      </c>
      <c r="L29" s="180" t="e">
        <f t="shared" si="4"/>
        <v>#REF!</v>
      </c>
      <c r="M29" s="180" t="e">
        <f t="shared" si="4"/>
        <v>#REF!</v>
      </c>
      <c r="N29" s="180" t="e">
        <f t="shared" si="4"/>
        <v>#REF!</v>
      </c>
      <c r="O29" s="50" t="e">
        <f t="shared" si="3"/>
        <v>#REF!</v>
      </c>
    </row>
    <row r="30" spans="2:15" x14ac:dyDescent="0.15">
      <c r="B30" s="44" t="s">
        <v>116</v>
      </c>
      <c r="C30" s="50" t="e">
        <f t="shared" ref="C30:N30" si="5">C12-C29</f>
        <v>#DIV/0!</v>
      </c>
      <c r="D30" s="50" t="e">
        <f t="shared" si="5"/>
        <v>#DIV/0!</v>
      </c>
      <c r="E30" s="50" t="e">
        <f t="shared" si="5"/>
        <v>#DIV/0!</v>
      </c>
      <c r="F30" s="50" t="e">
        <f t="shared" si="5"/>
        <v>#DIV/0!</v>
      </c>
      <c r="G30" s="50" t="e">
        <f t="shared" si="5"/>
        <v>#DIV/0!</v>
      </c>
      <c r="H30" s="50" t="e">
        <f t="shared" si="5"/>
        <v>#DIV/0!</v>
      </c>
      <c r="I30" s="50" t="e">
        <f t="shared" si="5"/>
        <v>#DIV/0!</v>
      </c>
      <c r="J30" s="50" t="e">
        <f t="shared" si="5"/>
        <v>#DIV/0!</v>
      </c>
      <c r="K30" s="50" t="e">
        <f t="shared" si="5"/>
        <v>#DIV/0!</v>
      </c>
      <c r="L30" s="50" t="e">
        <f t="shared" si="5"/>
        <v>#DIV/0!</v>
      </c>
      <c r="M30" s="50" t="e">
        <f t="shared" si="5"/>
        <v>#DIV/0!</v>
      </c>
      <c r="N30" s="50" t="e">
        <f t="shared" si="5"/>
        <v>#DIV/0!</v>
      </c>
      <c r="O30" s="50" t="e">
        <f t="shared" si="3"/>
        <v>#DIV/0!</v>
      </c>
    </row>
    <row r="31" spans="2:15" x14ac:dyDescent="0.15">
      <c r="B31" s="44" t="s">
        <v>214</v>
      </c>
      <c r="C31" s="50" t="e">
        <f>C8+C30</f>
        <v>#DIV/0!</v>
      </c>
      <c r="D31" s="50" t="e">
        <f t="shared" ref="D31:N31" si="6">D8+D30</f>
        <v>#DIV/0!</v>
      </c>
      <c r="E31" s="50" t="e">
        <f t="shared" si="6"/>
        <v>#DIV/0!</v>
      </c>
      <c r="F31" s="50" t="e">
        <f t="shared" si="6"/>
        <v>#DIV/0!</v>
      </c>
      <c r="G31" s="50" t="e">
        <f t="shared" si="6"/>
        <v>#DIV/0!</v>
      </c>
      <c r="H31" s="50" t="e">
        <f t="shared" si="6"/>
        <v>#DIV/0!</v>
      </c>
      <c r="I31" s="50" t="e">
        <f t="shared" si="6"/>
        <v>#DIV/0!</v>
      </c>
      <c r="J31" s="50" t="e">
        <f t="shared" si="6"/>
        <v>#DIV/0!</v>
      </c>
      <c r="K31" s="50" t="e">
        <f t="shared" si="6"/>
        <v>#DIV/0!</v>
      </c>
      <c r="L31" s="50" t="e">
        <f t="shared" si="6"/>
        <v>#DIV/0!</v>
      </c>
      <c r="M31" s="50" t="e">
        <f t="shared" si="6"/>
        <v>#DIV/0!</v>
      </c>
      <c r="N31" s="50" t="e">
        <f t="shared" si="6"/>
        <v>#DIV/0!</v>
      </c>
      <c r="O31" s="50"/>
    </row>
    <row r="32" spans="2:15" x14ac:dyDescent="0.15">
      <c r="B32" s="44" t="s">
        <v>165</v>
      </c>
      <c r="C32" s="50" t="e">
        <f>IF(C31&lt;'4-AdditionalInputs'!$D$24, '4-AdditionalInputs'!$D$24-C31, 0)</f>
        <v>#DIV/0!</v>
      </c>
      <c r="D32" s="50" t="e">
        <f>IF(D31&lt;'4-AdditionalInputs'!$D$24, '4-AdditionalInputs'!$D$24-D31, 0)</f>
        <v>#DIV/0!</v>
      </c>
      <c r="E32" s="50" t="e">
        <f>IF(E31&lt;'4-AdditionalInputs'!$D$24, '4-AdditionalInputs'!$D$24-E31, 0)</f>
        <v>#DIV/0!</v>
      </c>
      <c r="F32" s="50" t="e">
        <f>IF(F31&lt;'4-AdditionalInputs'!$D$24, '4-AdditionalInputs'!$D$24-F31, 0)</f>
        <v>#DIV/0!</v>
      </c>
      <c r="G32" s="50" t="e">
        <f>IF(G31&lt;'4-AdditionalInputs'!$D$24, '4-AdditionalInputs'!$D$24-G31, 0)</f>
        <v>#DIV/0!</v>
      </c>
      <c r="H32" s="50" t="e">
        <f>IF(H31&lt;'4-AdditionalInputs'!$D$24, '4-AdditionalInputs'!$D$24-H31, 0)</f>
        <v>#DIV/0!</v>
      </c>
      <c r="I32" s="50" t="e">
        <f>IF(I31&lt;'4-AdditionalInputs'!$D$24, '4-AdditionalInputs'!$D$24-I31, 0)</f>
        <v>#DIV/0!</v>
      </c>
      <c r="J32" s="50" t="e">
        <f>IF(J31&lt;'4-AdditionalInputs'!$D$24, '4-AdditionalInputs'!$D$24-J31, 0)</f>
        <v>#DIV/0!</v>
      </c>
      <c r="K32" s="50" t="e">
        <f>IF(K31&lt;'4-AdditionalInputs'!$D$24, '4-AdditionalInputs'!$D$24-K31, 0)</f>
        <v>#DIV/0!</v>
      </c>
      <c r="L32" s="50" t="e">
        <f>IF(L31&lt;'4-AdditionalInputs'!$D$24, '4-AdditionalInputs'!$D$24-L31, 0)</f>
        <v>#DIV/0!</v>
      </c>
      <c r="M32" s="50" t="e">
        <f>IF(M31&lt;'4-AdditionalInputs'!$D$24, '4-AdditionalInputs'!$D$24-M31, 0)</f>
        <v>#DIV/0!</v>
      </c>
      <c r="N32" s="50" t="e">
        <f>IF(N31&lt;'4-AdditionalInputs'!$D$24, '4-AdditionalInputs'!$D$24-N31, 0)</f>
        <v>#DIV/0!</v>
      </c>
      <c r="O32" s="50" t="e">
        <f t="shared" si="3"/>
        <v>#DIV/0!</v>
      </c>
    </row>
    <row r="33" spans="2:15" x14ac:dyDescent="0.15">
      <c r="B33" s="44" t="s">
        <v>28</v>
      </c>
      <c r="C33" s="50" t="e">
        <f>SUM(C31+C32)</f>
        <v>#DIV/0!</v>
      </c>
      <c r="D33" s="50" t="e">
        <f t="shared" ref="D33:N33" si="7">SUM(D31+D32)</f>
        <v>#DIV/0!</v>
      </c>
      <c r="E33" s="50" t="e">
        <f t="shared" si="7"/>
        <v>#DIV/0!</v>
      </c>
      <c r="F33" s="50" t="e">
        <f t="shared" si="7"/>
        <v>#DIV/0!</v>
      </c>
      <c r="G33" s="50" t="e">
        <f t="shared" si="7"/>
        <v>#DIV/0!</v>
      </c>
      <c r="H33" s="50" t="e">
        <f t="shared" si="7"/>
        <v>#DIV/0!</v>
      </c>
      <c r="I33" s="50" t="e">
        <f t="shared" si="7"/>
        <v>#DIV/0!</v>
      </c>
      <c r="J33" s="50" t="e">
        <f t="shared" si="7"/>
        <v>#DIV/0!</v>
      </c>
      <c r="K33" s="50" t="e">
        <f t="shared" si="7"/>
        <v>#DIV/0!</v>
      </c>
      <c r="L33" s="50" t="e">
        <f t="shared" si="7"/>
        <v>#DIV/0!</v>
      </c>
      <c r="M33" s="50" t="e">
        <f t="shared" si="7"/>
        <v>#DIV/0!</v>
      </c>
      <c r="N33" s="50" t="e">
        <f t="shared" si="7"/>
        <v>#DIV/0!</v>
      </c>
      <c r="O33" s="50"/>
    </row>
    <row r="34" spans="2:15" x14ac:dyDescent="0.15">
      <c r="B34" s="24" t="s">
        <v>190</v>
      </c>
      <c r="C34" s="34" t="e">
        <f>C32-C27</f>
        <v>#DIV/0!</v>
      </c>
      <c r="D34" s="34" t="e">
        <f>D32+C34-D27</f>
        <v>#DIV/0!</v>
      </c>
      <c r="E34" s="34" t="e">
        <f t="shared" ref="E34:N34" si="8">E32+D34-E27</f>
        <v>#DIV/0!</v>
      </c>
      <c r="F34" s="34" t="e">
        <f t="shared" si="8"/>
        <v>#DIV/0!</v>
      </c>
      <c r="G34" s="34" t="e">
        <f t="shared" si="8"/>
        <v>#DIV/0!</v>
      </c>
      <c r="H34" s="34" t="e">
        <f t="shared" si="8"/>
        <v>#DIV/0!</v>
      </c>
      <c r="I34" s="34" t="e">
        <f>I32+H34-I27</f>
        <v>#DIV/0!</v>
      </c>
      <c r="J34" s="34" t="e">
        <f t="shared" si="8"/>
        <v>#DIV/0!</v>
      </c>
      <c r="K34" s="34" t="e">
        <f t="shared" si="8"/>
        <v>#DIV/0!</v>
      </c>
      <c r="L34" s="34" t="e">
        <f t="shared" si="8"/>
        <v>#DIV/0!</v>
      </c>
      <c r="M34" s="34" t="e">
        <f t="shared" si="8"/>
        <v>#DIV/0!</v>
      </c>
      <c r="N34" s="34" t="e">
        <f t="shared" si="8"/>
        <v>#DIV/0!</v>
      </c>
      <c r="O34" s="50"/>
    </row>
  </sheetData>
  <sheetProtection algorithmName="SHA-512" hashValue="s8latQBdTQlA0YuhFYRZfxEHavXorIIZx0wZQdxceI1UiqIvtuLHqn94JjsrD9KYvRcGhztOnzDm9dEfSPsBGw==" saltValue="cV7XUX6JauRPDMEyAAwYTw==" spinCount="100000" sheet="1" objects="1" scenarios="1" formatColumns="0" formatRows="0"/>
  <mergeCells count="1">
    <mergeCell ref="B2:C2"/>
  </mergeCells>
  <phoneticPr fontId="3" type="noConversion"/>
  <conditionalFormatting sqref="C17:N17">
    <cfRule type="containsBlanks" dxfId="55" priority="26" stopIfTrue="1">
      <formula>LEN(TRIM(C17))=0</formula>
    </cfRule>
  </conditionalFormatting>
  <conditionalFormatting sqref="C25:N25 C27:N28">
    <cfRule type="containsBlanks" dxfId="54" priority="27" stopIfTrue="1">
      <formula>LEN(TRIM(C25))=0</formula>
    </cfRule>
  </conditionalFormatting>
  <conditionalFormatting sqref="C32:N32">
    <cfRule type="containsBlanks" dxfId="53" priority="4">
      <formula>LEN(TRIM(C32))=0</formula>
    </cfRule>
  </conditionalFormatting>
  <conditionalFormatting sqref="C33:N33">
    <cfRule type="expression" dxfId="52" priority="10" stopIfTrue="1">
      <formula>ISERROR(C33)</formula>
    </cfRule>
  </conditionalFormatting>
  <conditionalFormatting sqref="C29:O29">
    <cfRule type="expression" dxfId="51" priority="13" stopIfTrue="1">
      <formula>ISERROR(C29)</formula>
    </cfRule>
  </conditionalFormatting>
  <conditionalFormatting sqref="D31:N32 D8:N8 C24:O24 C30:N31">
    <cfRule type="expression" dxfId="50" priority="12" stopIfTrue="1">
      <formula>ISERROR(C8)</formula>
    </cfRule>
  </conditionalFormatting>
  <conditionalFormatting sqref="O30:O34">
    <cfRule type="expression" dxfId="49" priority="8" stopIfTrue="1">
      <formula>ISERROR(O30)</formula>
    </cfRule>
  </conditionalFormatting>
  <pageMargins left="0.25" right="0.25" top="0.75" bottom="0.75" header="0.3" footer="0.3"/>
  <pageSetup scale="85" orientation="landscape"/>
  <headerFooter scaleWithDoc="0">
    <oddHeader>&amp;C&amp;"Gill Sans MT,Regular"&amp;12Cash Flow Forecast Year 1</oddHeader>
    <oddFooter>&amp;L&amp;"Gill Sans MT,Regular"&amp;12&amp;F&amp;C&amp;"Gill Sans MT,Regular"&amp;12&amp;A&amp;R&amp;"Gill Sans MT,Regular"&amp;12&amp;D &amp;T</oddFooter>
  </headerFooter>
  <legacy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tabColor rgb="FFFFC95B"/>
    <pageSetUpPr autoPageBreaks="0"/>
  </sheetPr>
  <dimension ref="A1:AB33"/>
  <sheetViews>
    <sheetView topLeftCell="I1" workbookViewId="0">
      <selection activeCell="K36" sqref="K36"/>
    </sheetView>
  </sheetViews>
  <sheetFormatPr baseColWidth="10" defaultColWidth="8.83203125" defaultRowHeight="12" x14ac:dyDescent="0.15"/>
  <cols>
    <col min="1" max="1" width="29.33203125" style="43" customWidth="1"/>
    <col min="2" max="2" width="25.5" style="43" bestFit="1" customWidth="1"/>
    <col min="3" max="3" width="14.33203125" style="43" bestFit="1" customWidth="1"/>
    <col min="4" max="4" width="9.5" style="43" bestFit="1" customWidth="1"/>
    <col min="5" max="6" width="10.1640625" style="43" bestFit="1" customWidth="1"/>
    <col min="7" max="14" width="9.5" style="43" bestFit="1" customWidth="1"/>
    <col min="15" max="15" width="11.5" style="43" bestFit="1" customWidth="1"/>
    <col min="16" max="17" width="9.5" style="43" bestFit="1" customWidth="1"/>
    <col min="18" max="19" width="10.1640625" style="43" bestFit="1" customWidth="1"/>
    <col min="20" max="27" width="9.5" style="43" bestFit="1" customWidth="1"/>
    <col min="28" max="28" width="11.5" style="43" bestFit="1" customWidth="1"/>
    <col min="29" max="29" width="8.83203125" style="43" customWidth="1"/>
    <col min="30" max="16384" width="8.83203125" style="43"/>
  </cols>
  <sheetData>
    <row r="1" spans="1:28" x14ac:dyDescent="0.15">
      <c r="B1" s="182" t="s">
        <v>319</v>
      </c>
      <c r="C1" s="174"/>
      <c r="E1" s="174"/>
      <c r="F1" s="174"/>
      <c r="G1" s="174"/>
      <c r="H1" s="174"/>
      <c r="P1" s="175"/>
      <c r="Q1" s="175"/>
    </row>
    <row r="2" spans="1:28" x14ac:dyDescent="0.15">
      <c r="H2" s="140"/>
    </row>
    <row r="3" spans="1:28" ht="19.5" customHeight="1" x14ac:dyDescent="0.15">
      <c r="B3" s="71" t="s">
        <v>119</v>
      </c>
      <c r="C3" s="71" t="s">
        <v>120</v>
      </c>
      <c r="H3" s="140"/>
    </row>
    <row r="4" spans="1:28" ht="19.5" customHeight="1" x14ac:dyDescent="0.15">
      <c r="B4" s="43" t="str">
        <f>IF(ISBLANK(Directions!C6), "Owner", Directions!C6)</f>
        <v>Owner</v>
      </c>
      <c r="C4" s="43" t="str">
        <f>IF(ISBLANK(Directions!D6), "Company 1", Directions!D6)</f>
        <v>Company 1</v>
      </c>
      <c r="H4" s="140"/>
    </row>
    <row r="6" spans="1:28" ht="14" thickBot="1" x14ac:dyDescent="0.2">
      <c r="A6" s="326"/>
      <c r="B6" s="326" t="s">
        <v>197</v>
      </c>
      <c r="C6" s="326" t="str">
        <f>SalesForecastYear1!C23</f>
        <v xml:space="preserve"> Aug</v>
      </c>
      <c r="D6" s="326" t="str">
        <f>SalesForecastYear1!D23</f>
        <v>Sep</v>
      </c>
      <c r="E6" s="326" t="str">
        <f>SalesForecastYear1!E23</f>
        <v>Oct</v>
      </c>
      <c r="F6" s="326" t="str">
        <f>SalesForecastYear1!F23</f>
        <v>Nov</v>
      </c>
      <c r="G6" s="326" t="str">
        <f>SalesForecastYear1!G23</f>
        <v>Dec</v>
      </c>
      <c r="H6" s="326" t="str">
        <f>SalesForecastYear1!H23</f>
        <v>Jan</v>
      </c>
      <c r="I6" s="326" t="str">
        <f>SalesForecastYear1!I23</f>
        <v>Feb</v>
      </c>
      <c r="J6" s="326" t="str">
        <f>SalesForecastYear1!J23</f>
        <v>Mar</v>
      </c>
      <c r="K6" s="326" t="str">
        <f>SalesForecastYear1!K23</f>
        <v>Apr</v>
      </c>
      <c r="L6" s="326" t="str">
        <f>SalesForecastYear1!L23</f>
        <v>May</v>
      </c>
      <c r="M6" s="326" t="str">
        <f>SalesForecastYear1!M23</f>
        <v>Jun</v>
      </c>
      <c r="N6" s="326" t="str">
        <f>SalesForecastYear1!N23</f>
        <v>Jul</v>
      </c>
      <c r="O6" s="326" t="s">
        <v>198</v>
      </c>
      <c r="P6" s="326" t="str">
        <f>C6</f>
        <v xml:space="preserve"> Aug</v>
      </c>
      <c r="Q6" s="326" t="str">
        <f t="shared" ref="Q6:AA6" si="0">D6</f>
        <v>Sep</v>
      </c>
      <c r="R6" s="326" t="str">
        <f t="shared" si="0"/>
        <v>Oct</v>
      </c>
      <c r="S6" s="326" t="str">
        <f t="shared" si="0"/>
        <v>Nov</v>
      </c>
      <c r="T6" s="326" t="str">
        <f t="shared" si="0"/>
        <v>Dec</v>
      </c>
      <c r="U6" s="326" t="str">
        <f t="shared" si="0"/>
        <v>Jan</v>
      </c>
      <c r="V6" s="326" t="str">
        <f t="shared" si="0"/>
        <v>Feb</v>
      </c>
      <c r="W6" s="326" t="str">
        <f t="shared" si="0"/>
        <v>Mar</v>
      </c>
      <c r="X6" s="326" t="str">
        <f t="shared" si="0"/>
        <v>Apr</v>
      </c>
      <c r="Y6" s="326" t="str">
        <f t="shared" si="0"/>
        <v>May</v>
      </c>
      <c r="Z6" s="326" t="str">
        <f t="shared" si="0"/>
        <v>Jun</v>
      </c>
      <c r="AA6" s="326" t="str">
        <f t="shared" si="0"/>
        <v>Jul</v>
      </c>
      <c r="AB6" s="326" t="s">
        <v>199</v>
      </c>
    </row>
    <row r="7" spans="1:28" ht="13" thickTop="1" x14ac:dyDescent="0.15">
      <c r="A7" s="328" t="s">
        <v>84</v>
      </c>
      <c r="B7" s="328"/>
      <c r="C7" s="286" t="e">
        <f>Y1EndingCashBal</f>
        <v>#DIV/0!</v>
      </c>
      <c r="D7" s="286" t="e">
        <f t="shared" ref="D7:N7" si="1">C32</f>
        <v>#DIV/0!</v>
      </c>
      <c r="E7" s="286" t="e">
        <f>D32</f>
        <v>#DIV/0!</v>
      </c>
      <c r="F7" s="286" t="e">
        <f t="shared" si="1"/>
        <v>#DIV/0!</v>
      </c>
      <c r="G7" s="286" t="e">
        <f t="shared" si="1"/>
        <v>#DIV/0!</v>
      </c>
      <c r="H7" s="286" t="e">
        <f t="shared" si="1"/>
        <v>#DIV/0!</v>
      </c>
      <c r="I7" s="286" t="e">
        <f t="shared" si="1"/>
        <v>#DIV/0!</v>
      </c>
      <c r="J7" s="286" t="e">
        <f t="shared" si="1"/>
        <v>#DIV/0!</v>
      </c>
      <c r="K7" s="286" t="e">
        <f t="shared" si="1"/>
        <v>#DIV/0!</v>
      </c>
      <c r="L7" s="286" t="e">
        <f t="shared" si="1"/>
        <v>#DIV/0!</v>
      </c>
      <c r="M7" s="286" t="e">
        <f t="shared" si="1"/>
        <v>#DIV/0!</v>
      </c>
      <c r="N7" s="286" t="e">
        <f t="shared" si="1"/>
        <v>#DIV/0!</v>
      </c>
      <c r="O7" s="330"/>
      <c r="P7" s="286" t="e">
        <f>N32</f>
        <v>#DIV/0!</v>
      </c>
      <c r="Q7" s="286" t="e">
        <f>P32</f>
        <v>#DIV/0!</v>
      </c>
      <c r="R7" s="286" t="e">
        <f t="shared" ref="R7:AA7" si="2">Q32</f>
        <v>#DIV/0!</v>
      </c>
      <c r="S7" s="286" t="e">
        <f t="shared" si="2"/>
        <v>#DIV/0!</v>
      </c>
      <c r="T7" s="286" t="e">
        <f t="shared" si="2"/>
        <v>#DIV/0!</v>
      </c>
      <c r="U7" s="286" t="e">
        <f t="shared" si="2"/>
        <v>#DIV/0!</v>
      </c>
      <c r="V7" s="286" t="e">
        <f t="shared" si="2"/>
        <v>#DIV/0!</v>
      </c>
      <c r="W7" s="286" t="e">
        <f t="shared" si="2"/>
        <v>#DIV/0!</v>
      </c>
      <c r="X7" s="286" t="e">
        <f t="shared" si="2"/>
        <v>#DIV/0!</v>
      </c>
      <c r="Y7" s="286" t="e">
        <f t="shared" si="2"/>
        <v>#DIV/0!</v>
      </c>
      <c r="Z7" s="286" t="e">
        <f t="shared" si="2"/>
        <v>#DIV/0!</v>
      </c>
      <c r="AA7" s="286" t="e">
        <f t="shared" si="2"/>
        <v>#DIV/0!</v>
      </c>
      <c r="AB7" s="330"/>
    </row>
    <row r="8" spans="1:28" x14ac:dyDescent="0.15">
      <c r="A8" s="44" t="s">
        <v>21</v>
      </c>
      <c r="B8" s="44"/>
      <c r="C8" s="46"/>
      <c r="D8" s="46"/>
      <c r="E8" s="46"/>
      <c r="F8" s="46"/>
      <c r="G8" s="46"/>
      <c r="H8" s="46"/>
      <c r="I8" s="46"/>
      <c r="J8" s="46"/>
      <c r="K8" s="46"/>
      <c r="L8" s="46"/>
      <c r="M8" s="46"/>
      <c r="N8" s="46"/>
      <c r="O8" s="22"/>
      <c r="P8" s="46"/>
      <c r="Q8" s="46"/>
      <c r="R8" s="46"/>
      <c r="S8" s="46"/>
      <c r="T8" s="46"/>
      <c r="U8" s="46"/>
      <c r="V8" s="46"/>
      <c r="W8" s="46"/>
      <c r="X8" s="46"/>
      <c r="Y8" s="46"/>
      <c r="Z8" s="46"/>
      <c r="AA8" s="46"/>
      <c r="AB8" s="22"/>
    </row>
    <row r="9" spans="1:28" x14ac:dyDescent="0.15">
      <c r="A9" s="176" t="s">
        <v>115</v>
      </c>
      <c r="B9" s="183" t="e">
        <f>'6a-CashFlowYear1'!O10</f>
        <v>#DIV/0!</v>
      </c>
      <c r="C9" s="79" t="e">
        <f>('3b-SalesForecastYrs1-3'!C71*'4-AdditionalInputs'!$D$9)</f>
        <v>#REF!</v>
      </c>
      <c r="D9" s="79" t="e">
        <f>('3b-SalesForecastYrs1-3'!D71*'4-AdditionalInputs'!$D$9)</f>
        <v>#REF!</v>
      </c>
      <c r="E9" s="79" t="e">
        <f>('3b-SalesForecastYrs1-3'!E71*'4-AdditionalInputs'!$D$9)</f>
        <v>#REF!</v>
      </c>
      <c r="F9" s="79" t="e">
        <f>('3b-SalesForecastYrs1-3'!F71*'4-AdditionalInputs'!$D$9)</f>
        <v>#REF!</v>
      </c>
      <c r="G9" s="79" t="e">
        <f>('3b-SalesForecastYrs1-3'!G71*'4-AdditionalInputs'!$D$9)</f>
        <v>#REF!</v>
      </c>
      <c r="H9" s="79" t="e">
        <f>('3b-SalesForecastYrs1-3'!H71*'4-AdditionalInputs'!$D$9)</f>
        <v>#REF!</v>
      </c>
      <c r="I9" s="79" t="e">
        <f>('3b-SalesForecastYrs1-3'!I71*'4-AdditionalInputs'!$D$9)</f>
        <v>#REF!</v>
      </c>
      <c r="J9" s="79" t="e">
        <f>('3b-SalesForecastYrs1-3'!J71*'4-AdditionalInputs'!$D$9)</f>
        <v>#REF!</v>
      </c>
      <c r="K9" s="79" t="e">
        <f>('3b-SalesForecastYrs1-3'!K71*'4-AdditionalInputs'!$D$9)</f>
        <v>#REF!</v>
      </c>
      <c r="L9" s="79" t="e">
        <f>('3b-SalesForecastYrs1-3'!L71*'4-AdditionalInputs'!$D$9)</f>
        <v>#REF!</v>
      </c>
      <c r="M9" s="79" t="e">
        <f>('3b-SalesForecastYrs1-3'!M71*'4-AdditionalInputs'!$D$9)</f>
        <v>#REF!</v>
      </c>
      <c r="N9" s="79" t="e">
        <f>('3b-SalesForecastYrs1-3'!N71*'4-AdditionalInputs'!$D$9)</f>
        <v>#REF!</v>
      </c>
      <c r="O9" s="86" t="e">
        <f>SUM(C9:N9)</f>
        <v>#REF!</v>
      </c>
      <c r="P9" s="79" t="e">
        <f>('3b-SalesForecastYrs1-3'!R71*'4-AdditionalInputs'!$E$9)</f>
        <v>#REF!</v>
      </c>
      <c r="Q9" s="79" t="e">
        <f>('3b-SalesForecastYrs1-3'!S71*'4-AdditionalInputs'!$E$9)</f>
        <v>#REF!</v>
      </c>
      <c r="R9" s="79" t="e">
        <f>('3b-SalesForecastYrs1-3'!T71*'4-AdditionalInputs'!$E$9)</f>
        <v>#REF!</v>
      </c>
      <c r="S9" s="79" t="e">
        <f>('3b-SalesForecastYrs1-3'!U71*'4-AdditionalInputs'!$E$9)</f>
        <v>#REF!</v>
      </c>
      <c r="T9" s="79" t="e">
        <f>('3b-SalesForecastYrs1-3'!V71*'4-AdditionalInputs'!$E$9)</f>
        <v>#REF!</v>
      </c>
      <c r="U9" s="79" t="e">
        <f>('3b-SalesForecastYrs1-3'!W71*'4-AdditionalInputs'!$E$9)</f>
        <v>#REF!</v>
      </c>
      <c r="V9" s="79" t="e">
        <f>('3b-SalesForecastYrs1-3'!X71*'4-AdditionalInputs'!$E$9)</f>
        <v>#REF!</v>
      </c>
      <c r="W9" s="79" t="e">
        <f>('3b-SalesForecastYrs1-3'!Y71*'4-AdditionalInputs'!$E$9)</f>
        <v>#REF!</v>
      </c>
      <c r="X9" s="79" t="e">
        <f>('3b-SalesForecastYrs1-3'!Z71*'4-AdditionalInputs'!$E$9)</f>
        <v>#REF!</v>
      </c>
      <c r="Y9" s="79" t="e">
        <f>('3b-SalesForecastYrs1-3'!AA71*'4-AdditionalInputs'!$E$9)</f>
        <v>#REF!</v>
      </c>
      <c r="Z9" s="79" t="e">
        <f>('3b-SalesForecastYrs1-3'!AB71*'4-AdditionalInputs'!$E$9)</f>
        <v>#REF!</v>
      </c>
      <c r="AA9" s="79" t="e">
        <f>('3b-SalesForecastYrs1-3'!AC71*'4-AdditionalInputs'!$E$9)</f>
        <v>#REF!</v>
      </c>
      <c r="AB9" s="86" t="e">
        <f>SUM(P9:AA9)</f>
        <v>#REF!</v>
      </c>
    </row>
    <row r="10" spans="1:28" x14ac:dyDescent="0.15">
      <c r="A10" s="176" t="s">
        <v>213</v>
      </c>
      <c r="B10" s="183" t="e">
        <f>'6a-CashFlowYear1'!O11</f>
        <v>#DIV/0!</v>
      </c>
      <c r="C10" s="79" t="e">
        <f>(SalesForecastYear1!M122*'4-AdditionalInputs'!D11)+(SalesForecastYear1!N122*'4-AdditionalInputs'!D10)</f>
        <v>#DIV/0!</v>
      </c>
      <c r="D10" s="79" t="e">
        <f>(SalesForecastYear1!N122*'4-AdditionalInputs'!$D$11)+('3b-SalesForecastYrs1-3'!C71*'4-AdditionalInputs'!$D$10)</f>
        <v>#DIV/0!</v>
      </c>
      <c r="E10" s="79" t="e">
        <f>('3b-SalesForecastYrs1-3'!C71*'4-AdditionalInputs'!$D$11)+('3b-SalesForecastYrs1-3'!D71*'4-AdditionalInputs'!$D$10)</f>
        <v>#REF!</v>
      </c>
      <c r="F10" s="79" t="e">
        <f>('3b-SalesForecastYrs1-3'!D71*'4-AdditionalInputs'!$D$11)+('3b-SalesForecastYrs1-3'!E71*'4-AdditionalInputs'!$D$10)</f>
        <v>#REF!</v>
      </c>
      <c r="G10" s="79" t="e">
        <f>('3b-SalesForecastYrs1-3'!E71*'4-AdditionalInputs'!$D$11)+('3b-SalesForecastYrs1-3'!F71*'4-AdditionalInputs'!$D$10)</f>
        <v>#REF!</v>
      </c>
      <c r="H10" s="79" t="e">
        <f>('3b-SalesForecastYrs1-3'!F71*'4-AdditionalInputs'!$D$11)+('3b-SalesForecastYrs1-3'!G71*'4-AdditionalInputs'!$D$10)</f>
        <v>#REF!</v>
      </c>
      <c r="I10" s="79" t="e">
        <f>('3b-SalesForecastYrs1-3'!G71*'4-AdditionalInputs'!$D$11)+('3b-SalesForecastYrs1-3'!H71*'4-AdditionalInputs'!$D$10)</f>
        <v>#REF!</v>
      </c>
      <c r="J10" s="79" t="e">
        <f>('3b-SalesForecastYrs1-3'!H71*'4-AdditionalInputs'!$D$11)+('3b-SalesForecastYrs1-3'!I71*'4-AdditionalInputs'!$D$10)</f>
        <v>#REF!</v>
      </c>
      <c r="K10" s="79" t="e">
        <f>('3b-SalesForecastYrs1-3'!I71*'4-AdditionalInputs'!$D$11)+('3b-SalesForecastYrs1-3'!J71*'4-AdditionalInputs'!$D$10)</f>
        <v>#REF!</v>
      </c>
      <c r="L10" s="79" t="e">
        <f>('3b-SalesForecastYrs1-3'!J71*'4-AdditionalInputs'!$D$11)+('3b-SalesForecastYrs1-3'!K71*'4-AdditionalInputs'!$D$10)</f>
        <v>#REF!</v>
      </c>
      <c r="M10" s="79" t="e">
        <f>('3b-SalesForecastYrs1-3'!K71*'4-AdditionalInputs'!$D$11)+('3b-SalesForecastYrs1-3'!L71*'4-AdditionalInputs'!$D$10)</f>
        <v>#REF!</v>
      </c>
      <c r="N10" s="79" t="e">
        <f>('3b-SalesForecastYrs1-3'!L71*'4-AdditionalInputs'!$D$11)+('3b-SalesForecastYrs1-3'!M71*'4-AdditionalInputs'!$D$10)</f>
        <v>#REF!</v>
      </c>
      <c r="O10" s="86" t="e">
        <f>SUM(C10:N10)</f>
        <v>#DIV/0!</v>
      </c>
      <c r="P10" s="79" t="e">
        <f>('3b-SalesForecastYrs1-3'!M71*'4-AdditionalInputs'!E11)+('3b-SalesForecastYrs1-3'!N71*'4-AdditionalInputs'!E10)</f>
        <v>#REF!</v>
      </c>
      <c r="Q10" s="79" t="e">
        <f>('3b-SalesForecastYrs1-3'!N71*'4-AdditionalInputs'!E11)+('3b-SalesForecastYrs1-3'!R71*'4-AdditionalInputs'!E10)</f>
        <v>#REF!</v>
      </c>
      <c r="R10" s="79" t="e">
        <f>('3b-SalesForecastYrs1-3'!R71*'4-AdditionalInputs'!$E$11)+('3b-SalesForecastYrs1-3'!S71*'4-AdditionalInputs'!$E$10)</f>
        <v>#REF!</v>
      </c>
      <c r="S10" s="79" t="e">
        <f>('3b-SalesForecastYrs1-3'!S71*'4-AdditionalInputs'!$E$11)+('3b-SalesForecastYrs1-3'!T71*'4-AdditionalInputs'!$E$10)</f>
        <v>#REF!</v>
      </c>
      <c r="T10" s="79" t="e">
        <f>('3b-SalesForecastYrs1-3'!T71*'4-AdditionalInputs'!$E$11)+('3b-SalesForecastYrs1-3'!U71*'4-AdditionalInputs'!$E$10)</f>
        <v>#REF!</v>
      </c>
      <c r="U10" s="79" t="e">
        <f>('3b-SalesForecastYrs1-3'!U71*'4-AdditionalInputs'!$E$11)+('3b-SalesForecastYrs1-3'!V71*'4-AdditionalInputs'!$E$10)</f>
        <v>#REF!</v>
      </c>
      <c r="V10" s="79" t="e">
        <f>('3b-SalesForecastYrs1-3'!V71*'4-AdditionalInputs'!$E$11)+('3b-SalesForecastYrs1-3'!W71*'4-AdditionalInputs'!$E$10)</f>
        <v>#REF!</v>
      </c>
      <c r="W10" s="79" t="e">
        <f>('3b-SalesForecastYrs1-3'!W71*'4-AdditionalInputs'!$E$11)+('3b-SalesForecastYrs1-3'!X71*'4-AdditionalInputs'!$E$10)</f>
        <v>#REF!</v>
      </c>
      <c r="X10" s="79" t="e">
        <f>('3b-SalesForecastYrs1-3'!X71*'4-AdditionalInputs'!$E$11)+('3b-SalesForecastYrs1-3'!Y71*'4-AdditionalInputs'!$E$10)</f>
        <v>#REF!</v>
      </c>
      <c r="Y10" s="79" t="e">
        <f>('3b-SalesForecastYrs1-3'!Y71*'4-AdditionalInputs'!$E$11)+('3b-SalesForecastYrs1-3'!Z71*'4-AdditionalInputs'!$E$10)</f>
        <v>#REF!</v>
      </c>
      <c r="Z10" s="79" t="e">
        <f>('3b-SalesForecastYrs1-3'!Z71*'4-AdditionalInputs'!$E$11)+('3b-SalesForecastYrs1-3'!AA71*'4-AdditionalInputs'!$E$10)</f>
        <v>#REF!</v>
      </c>
      <c r="AA10" s="79" t="e">
        <f>('3b-SalesForecastYrs1-3'!AA71*'4-AdditionalInputs'!$E$11)+('3b-SalesForecastYrs1-3'!AB71*'4-AdditionalInputs'!$E$10)</f>
        <v>#REF!</v>
      </c>
      <c r="AB10" s="86" t="e">
        <f>SUM(P10:AA10)</f>
        <v>#REF!</v>
      </c>
    </row>
    <row r="11" spans="1:28" x14ac:dyDescent="0.15">
      <c r="A11" s="24" t="s">
        <v>22</v>
      </c>
      <c r="B11" s="183" t="e">
        <f>'6a-CashFlowYear1'!O12</f>
        <v>#DIV/0!</v>
      </c>
      <c r="C11" s="50" t="e">
        <f>SUM(C9:C10)</f>
        <v>#REF!</v>
      </c>
      <c r="D11" s="50" t="e">
        <f t="shared" ref="D11:O11" si="3">SUM(D9:D10)</f>
        <v>#REF!</v>
      </c>
      <c r="E11" s="50" t="e">
        <f t="shared" si="3"/>
        <v>#REF!</v>
      </c>
      <c r="F11" s="50" t="e">
        <f t="shared" si="3"/>
        <v>#REF!</v>
      </c>
      <c r="G11" s="50" t="e">
        <f t="shared" si="3"/>
        <v>#REF!</v>
      </c>
      <c r="H11" s="50" t="e">
        <f t="shared" si="3"/>
        <v>#REF!</v>
      </c>
      <c r="I11" s="50" t="e">
        <f t="shared" si="3"/>
        <v>#REF!</v>
      </c>
      <c r="J11" s="50" t="e">
        <f t="shared" si="3"/>
        <v>#REF!</v>
      </c>
      <c r="K11" s="50" t="e">
        <f t="shared" si="3"/>
        <v>#REF!</v>
      </c>
      <c r="L11" s="50" t="e">
        <f t="shared" si="3"/>
        <v>#REF!</v>
      </c>
      <c r="M11" s="50" t="e">
        <f t="shared" si="3"/>
        <v>#REF!</v>
      </c>
      <c r="N11" s="50" t="e">
        <f t="shared" si="3"/>
        <v>#REF!</v>
      </c>
      <c r="O11" s="86" t="e">
        <f t="shared" si="3"/>
        <v>#REF!</v>
      </c>
      <c r="P11" s="79" t="e">
        <f>SUM(P9:P10)</f>
        <v>#REF!</v>
      </c>
      <c r="Q11" s="79" t="e">
        <f t="shared" ref="Q11:AA11" si="4">SUM(Q9:Q10)</f>
        <v>#REF!</v>
      </c>
      <c r="R11" s="79" t="e">
        <f t="shared" si="4"/>
        <v>#REF!</v>
      </c>
      <c r="S11" s="79" t="e">
        <f t="shared" si="4"/>
        <v>#REF!</v>
      </c>
      <c r="T11" s="79" t="e">
        <f t="shared" si="4"/>
        <v>#REF!</v>
      </c>
      <c r="U11" s="79" t="e">
        <f t="shared" si="4"/>
        <v>#REF!</v>
      </c>
      <c r="V11" s="79" t="e">
        <f t="shared" si="4"/>
        <v>#REF!</v>
      </c>
      <c r="W11" s="79" t="e">
        <f t="shared" si="4"/>
        <v>#REF!</v>
      </c>
      <c r="X11" s="79" t="e">
        <f t="shared" si="4"/>
        <v>#REF!</v>
      </c>
      <c r="Y11" s="79" t="e">
        <f t="shared" si="4"/>
        <v>#REF!</v>
      </c>
      <c r="Z11" s="79" t="e">
        <f t="shared" si="4"/>
        <v>#REF!</v>
      </c>
      <c r="AA11" s="79" t="e">
        <f t="shared" si="4"/>
        <v>#REF!</v>
      </c>
      <c r="AB11" s="86" t="e">
        <f>SUM(AB9:AB10)</f>
        <v>#REF!</v>
      </c>
    </row>
    <row r="12" spans="1:28" x14ac:dyDescent="0.15">
      <c r="A12" s="24"/>
      <c r="B12" s="183"/>
      <c r="C12" s="79"/>
      <c r="D12" s="79"/>
      <c r="E12" s="79"/>
      <c r="F12" s="79"/>
      <c r="G12" s="79"/>
      <c r="H12" s="79"/>
      <c r="I12" s="79"/>
      <c r="J12" s="79"/>
      <c r="K12" s="79"/>
      <c r="L12" s="79"/>
      <c r="M12" s="79"/>
      <c r="N12" s="79"/>
      <c r="O12" s="86"/>
      <c r="P12" s="79"/>
      <c r="Q12" s="79"/>
      <c r="R12" s="79"/>
      <c r="S12" s="79"/>
      <c r="T12" s="79"/>
      <c r="U12" s="79"/>
      <c r="V12" s="79"/>
      <c r="W12" s="79"/>
      <c r="X12" s="79"/>
      <c r="Y12" s="79"/>
      <c r="Z12" s="79"/>
      <c r="AA12" s="79"/>
      <c r="AB12" s="86"/>
    </row>
    <row r="13" spans="1:28" x14ac:dyDescent="0.15">
      <c r="A13" s="44" t="s">
        <v>23</v>
      </c>
      <c r="B13" s="183"/>
      <c r="C13" s="79"/>
      <c r="D13" s="79"/>
      <c r="E13" s="79"/>
      <c r="F13" s="79"/>
      <c r="G13" s="79"/>
      <c r="H13" s="79"/>
      <c r="I13" s="79"/>
      <c r="J13" s="79"/>
      <c r="K13" s="79"/>
      <c r="L13" s="79"/>
      <c r="M13" s="79"/>
      <c r="N13" s="79"/>
      <c r="O13" s="86"/>
      <c r="P13" s="79"/>
      <c r="Q13" s="79"/>
      <c r="R13" s="79"/>
      <c r="S13" s="79"/>
      <c r="T13" s="79"/>
      <c r="U13" s="79"/>
      <c r="V13" s="79"/>
      <c r="W13" s="79"/>
      <c r="X13" s="79"/>
      <c r="Y13" s="79"/>
      <c r="Z13" s="79"/>
      <c r="AA13" s="79"/>
      <c r="AB13" s="86"/>
    </row>
    <row r="14" spans="1:28" x14ac:dyDescent="0.15">
      <c r="A14" s="176" t="s">
        <v>24</v>
      </c>
      <c r="B14" s="183"/>
      <c r="C14" s="79"/>
      <c r="D14" s="79"/>
      <c r="E14" s="79"/>
      <c r="F14" s="79"/>
      <c r="G14" s="79"/>
      <c r="H14" s="79"/>
      <c r="I14" s="79"/>
      <c r="J14" s="79"/>
      <c r="K14" s="79"/>
      <c r="L14" s="79"/>
      <c r="M14" s="79"/>
      <c r="N14" s="79"/>
      <c r="O14" s="86"/>
      <c r="P14" s="79"/>
      <c r="Q14" s="79"/>
      <c r="R14" s="79"/>
      <c r="S14" s="79"/>
      <c r="T14" s="79"/>
      <c r="U14" s="79"/>
      <c r="V14" s="79"/>
      <c r="W14" s="79"/>
      <c r="X14" s="79"/>
      <c r="Y14" s="79"/>
      <c r="Z14" s="79"/>
      <c r="AA14" s="79"/>
      <c r="AB14" s="86"/>
    </row>
    <row r="15" spans="1:28" x14ac:dyDescent="0.15">
      <c r="A15" s="178" t="s">
        <v>270</v>
      </c>
      <c r="B15" s="183">
        <f>'6a-CashFlowYear1'!O16</f>
        <v>0</v>
      </c>
      <c r="C15" s="79">
        <f>'4-AdditionalInputs'!$Q$35/12</f>
        <v>0</v>
      </c>
      <c r="D15" s="79">
        <f>'4-AdditionalInputs'!$Q$35/12</f>
        <v>0</v>
      </c>
      <c r="E15" s="79">
        <f>'4-AdditionalInputs'!$Q$35/12</f>
        <v>0</v>
      </c>
      <c r="F15" s="79">
        <f>'4-AdditionalInputs'!$Q$35/12</f>
        <v>0</v>
      </c>
      <c r="G15" s="79">
        <f>'4-AdditionalInputs'!$Q$35/12</f>
        <v>0</v>
      </c>
      <c r="H15" s="79">
        <f>'4-AdditionalInputs'!$Q$35/12</f>
        <v>0</v>
      </c>
      <c r="I15" s="79">
        <f>'4-AdditionalInputs'!$Q$35/12</f>
        <v>0</v>
      </c>
      <c r="J15" s="79">
        <f>'4-AdditionalInputs'!$Q$35/12</f>
        <v>0</v>
      </c>
      <c r="K15" s="79">
        <f>'4-AdditionalInputs'!$Q$35/12</f>
        <v>0</v>
      </c>
      <c r="L15" s="79">
        <f>'4-AdditionalInputs'!$Q$35/12</f>
        <v>0</v>
      </c>
      <c r="M15" s="79">
        <f>'4-AdditionalInputs'!$Q$35/12</f>
        <v>0</v>
      </c>
      <c r="N15" s="79">
        <f>'4-AdditionalInputs'!$Q$35/12</f>
        <v>0</v>
      </c>
      <c r="O15" s="86">
        <f>SUM(C15:N15)</f>
        <v>0</v>
      </c>
      <c r="P15" s="79">
        <f>'4-AdditionalInputs'!$R$35/12</f>
        <v>0</v>
      </c>
      <c r="Q15" s="79">
        <f>'4-AdditionalInputs'!$R$35/12</f>
        <v>0</v>
      </c>
      <c r="R15" s="79">
        <f>'4-AdditionalInputs'!$R$35/12</f>
        <v>0</v>
      </c>
      <c r="S15" s="79">
        <f>'4-AdditionalInputs'!$R$35/12</f>
        <v>0</v>
      </c>
      <c r="T15" s="79">
        <f>'4-AdditionalInputs'!$R$35/12</f>
        <v>0</v>
      </c>
      <c r="U15" s="79">
        <f>'4-AdditionalInputs'!$R$35/12</f>
        <v>0</v>
      </c>
      <c r="V15" s="79">
        <f>'4-AdditionalInputs'!$R$35/12</f>
        <v>0</v>
      </c>
      <c r="W15" s="79">
        <f>'4-AdditionalInputs'!$R$35/12</f>
        <v>0</v>
      </c>
      <c r="X15" s="79">
        <f>'4-AdditionalInputs'!$R$35/12</f>
        <v>0</v>
      </c>
      <c r="Y15" s="79">
        <f>'4-AdditionalInputs'!$R$35/12</f>
        <v>0</v>
      </c>
      <c r="Z15" s="79">
        <f>'4-AdditionalInputs'!$R$35/12</f>
        <v>0</v>
      </c>
      <c r="AA15" s="79">
        <f>'4-AdditionalInputs'!$R$35/12</f>
        <v>0</v>
      </c>
      <c r="AB15" s="86">
        <f>SUM(P15:AA15)</f>
        <v>0</v>
      </c>
    </row>
    <row r="16" spans="1:28" x14ac:dyDescent="0.15">
      <c r="A16" s="178" t="s">
        <v>271</v>
      </c>
      <c r="B16" s="183">
        <f>+'6a-CashFlowYear1'!O17</f>
        <v>0</v>
      </c>
      <c r="C16" s="146"/>
      <c r="D16" s="146"/>
      <c r="E16" s="146"/>
      <c r="F16" s="146"/>
      <c r="G16" s="146"/>
      <c r="H16" s="146"/>
      <c r="I16" s="146"/>
      <c r="J16" s="146"/>
      <c r="K16" s="146"/>
      <c r="L16" s="146"/>
      <c r="M16" s="146"/>
      <c r="N16" s="146"/>
      <c r="O16" s="86">
        <f>SUM(C16:N16)</f>
        <v>0</v>
      </c>
      <c r="P16" s="146"/>
      <c r="Q16" s="146"/>
      <c r="R16" s="146"/>
      <c r="S16" s="146"/>
      <c r="T16" s="146"/>
      <c r="U16" s="146"/>
      <c r="V16" s="146"/>
      <c r="W16" s="146"/>
      <c r="X16" s="146"/>
      <c r="Y16" s="146"/>
      <c r="Z16" s="146"/>
      <c r="AA16" s="146"/>
      <c r="AB16" s="86">
        <f>SUM(P16:AA16)</f>
        <v>0</v>
      </c>
    </row>
    <row r="17" spans="1:28" x14ac:dyDescent="0.15">
      <c r="A17" s="178" t="s">
        <v>29</v>
      </c>
      <c r="B17" s="183" t="e">
        <f>'6a-CashFlowYear1'!O18</f>
        <v>#REF!</v>
      </c>
      <c r="C17" s="79" t="e">
        <f>('3b-SalesForecastYrs1-3'!C72*'4-AdditionalInputs'!$D$17)+(SalesForecastYear1!#REF!*'4-AdditionalInputs'!$D$18)+(SalesForecastYear1!#REF!*'4-AdditionalInputs'!$D$19)</f>
        <v>#REF!</v>
      </c>
      <c r="D17" s="79" t="e">
        <f>('3b-SalesForecastYrs1-3'!D72*'4-AdditionalInputs'!$D$17)+('3b-SalesForecastYrs1-3'!C72*'4-AdditionalInputs'!$D$18)+(SalesForecastYear1!#REF!*'4-AdditionalInputs'!$D$19)</f>
        <v>#REF!</v>
      </c>
      <c r="E17" s="79" t="e">
        <f>('3b-SalesForecastYrs1-3'!E72*'4-AdditionalInputs'!$D$17)+('3b-SalesForecastYrs1-3'!D72*'4-AdditionalInputs'!$D$18)+('3b-SalesForecastYrs1-3'!C72*'4-AdditionalInputs'!$D$19)</f>
        <v>#REF!</v>
      </c>
      <c r="F17" s="79" t="e">
        <f>('3b-SalesForecastYrs1-3'!F72*'4-AdditionalInputs'!$D$17)+('3b-SalesForecastYrs1-3'!E72*'4-AdditionalInputs'!$D$18)+('3b-SalesForecastYrs1-3'!D72*'4-AdditionalInputs'!$D$19)</f>
        <v>#REF!</v>
      </c>
      <c r="G17" s="79" t="e">
        <f>('3b-SalesForecastYrs1-3'!G72*'4-AdditionalInputs'!$D$17)+('3b-SalesForecastYrs1-3'!F72*'4-AdditionalInputs'!$D$18)+('3b-SalesForecastYrs1-3'!E72*'4-AdditionalInputs'!$D$19)</f>
        <v>#REF!</v>
      </c>
      <c r="H17" s="79" t="e">
        <f>('3b-SalesForecastYrs1-3'!H72*'4-AdditionalInputs'!$D$17)+('3b-SalesForecastYrs1-3'!G72*'4-AdditionalInputs'!$D$18)+('3b-SalesForecastYrs1-3'!F72*'4-AdditionalInputs'!$D$19)</f>
        <v>#REF!</v>
      </c>
      <c r="I17" s="79" t="e">
        <f>('3b-SalesForecastYrs1-3'!I72*'4-AdditionalInputs'!$D$17)+('3b-SalesForecastYrs1-3'!H72*'4-AdditionalInputs'!$D$18)+('3b-SalesForecastYrs1-3'!G72*'4-AdditionalInputs'!$D$19)</f>
        <v>#REF!</v>
      </c>
      <c r="J17" s="79" t="e">
        <f>('3b-SalesForecastYrs1-3'!J72*'4-AdditionalInputs'!$D$17)+('3b-SalesForecastYrs1-3'!I72*'4-AdditionalInputs'!$D$18)+('3b-SalesForecastYrs1-3'!H72*'4-AdditionalInputs'!$D$19)</f>
        <v>#REF!</v>
      </c>
      <c r="K17" s="79" t="e">
        <f>('3b-SalesForecastYrs1-3'!K72*'4-AdditionalInputs'!$D$17)+('3b-SalesForecastYrs1-3'!J72*'4-AdditionalInputs'!$D$18)+('3b-SalesForecastYrs1-3'!I72*'4-AdditionalInputs'!$D$19)</f>
        <v>#REF!</v>
      </c>
      <c r="L17" s="79" t="e">
        <f>('3b-SalesForecastYrs1-3'!L72*'4-AdditionalInputs'!$D$17)+('3b-SalesForecastYrs1-3'!K72*'4-AdditionalInputs'!$D$18)+('3b-SalesForecastYrs1-3'!J72*'4-AdditionalInputs'!$D$19)</f>
        <v>#REF!</v>
      </c>
      <c r="M17" s="79" t="e">
        <f>('3b-SalesForecastYrs1-3'!M72*'4-AdditionalInputs'!$D$17)+('3b-SalesForecastYrs1-3'!L72*'4-AdditionalInputs'!$D$18)+('3b-SalesForecastYrs1-3'!K72*'4-AdditionalInputs'!$D$19)</f>
        <v>#REF!</v>
      </c>
      <c r="N17" s="79" t="e">
        <f>('3b-SalesForecastYrs1-3'!N72*'4-AdditionalInputs'!$D$17)+('3b-SalesForecastYrs1-3'!M72*'4-AdditionalInputs'!$D$18)+('3b-SalesForecastYrs1-3'!L72*'4-AdditionalInputs'!$D$19)</f>
        <v>#REF!</v>
      </c>
      <c r="O17" s="86" t="e">
        <f>SUM(C17:N17)</f>
        <v>#REF!</v>
      </c>
      <c r="P17" s="79" t="e">
        <f>('3b-SalesForecastYrs1-3'!R72*'4-AdditionalInputs'!$E$17)+('3b-SalesForecastYrs1-3'!N72*'4-AdditionalInputs'!$E$18)+('3b-SalesForecastYrs1-3'!M72*'4-AdditionalInputs'!$E$19)</f>
        <v>#REF!</v>
      </c>
      <c r="Q17" s="79" t="e">
        <f>('3b-SalesForecastYrs1-3'!S72*'4-AdditionalInputs'!$E$17)+('3b-SalesForecastYrs1-3'!R72*'4-AdditionalInputs'!$E$18)+('3b-SalesForecastYrs1-3'!N72*'4-AdditionalInputs'!$E$19)</f>
        <v>#REF!</v>
      </c>
      <c r="R17" s="79" t="e">
        <f>('3b-SalesForecastYrs1-3'!T72*'4-AdditionalInputs'!$E$17)+('3b-SalesForecastYrs1-3'!S72*'4-AdditionalInputs'!$E$18)+('3b-SalesForecastYrs1-3'!R72*'4-AdditionalInputs'!$E$19)</f>
        <v>#REF!</v>
      </c>
      <c r="S17" s="79" t="e">
        <f>('3b-SalesForecastYrs1-3'!U72*'4-AdditionalInputs'!$E$17)+('3b-SalesForecastYrs1-3'!T72*'4-AdditionalInputs'!$E$18)+('3b-SalesForecastYrs1-3'!S72*'4-AdditionalInputs'!$E$19)</f>
        <v>#REF!</v>
      </c>
      <c r="T17" s="79" t="e">
        <f>('3b-SalesForecastYrs1-3'!V72*'4-AdditionalInputs'!$E$17)+('3b-SalesForecastYrs1-3'!U72*'4-AdditionalInputs'!$E$18)+('3b-SalesForecastYrs1-3'!T72*'4-AdditionalInputs'!$E$19)</f>
        <v>#REF!</v>
      </c>
      <c r="U17" s="79" t="e">
        <f>('3b-SalesForecastYrs1-3'!W72*'4-AdditionalInputs'!$E$17)+('3b-SalesForecastYrs1-3'!V72*'4-AdditionalInputs'!$E$18)+('3b-SalesForecastYrs1-3'!U72*'4-AdditionalInputs'!$E$19)</f>
        <v>#REF!</v>
      </c>
      <c r="V17" s="79" t="e">
        <f>('3b-SalesForecastYrs1-3'!X72*'4-AdditionalInputs'!$E$17)+('3b-SalesForecastYrs1-3'!W72*'4-AdditionalInputs'!$E$18)+('3b-SalesForecastYrs1-3'!V72*'4-AdditionalInputs'!$E$19)</f>
        <v>#REF!</v>
      </c>
      <c r="W17" s="79" t="e">
        <f>('3b-SalesForecastYrs1-3'!Y72*'4-AdditionalInputs'!$E$17)+('3b-SalesForecastYrs1-3'!X72*'4-AdditionalInputs'!$E$18)+('3b-SalesForecastYrs1-3'!W72*'4-AdditionalInputs'!$E$19)</f>
        <v>#REF!</v>
      </c>
      <c r="X17" s="79" t="e">
        <f>('3b-SalesForecastYrs1-3'!Z72*'4-AdditionalInputs'!$E$17)+('3b-SalesForecastYrs1-3'!Y72*'4-AdditionalInputs'!$E$18)+('3b-SalesForecastYrs1-3'!X72*'4-AdditionalInputs'!$E$19)</f>
        <v>#REF!</v>
      </c>
      <c r="Y17" s="79" t="e">
        <f>('3b-SalesForecastYrs1-3'!AA72*'4-AdditionalInputs'!$E$17)+('3b-SalesForecastYrs1-3'!Z72*'4-AdditionalInputs'!$E$18)+('3b-SalesForecastYrs1-3'!Y72*'4-AdditionalInputs'!$E$19)</f>
        <v>#REF!</v>
      </c>
      <c r="Z17" s="79" t="e">
        <f>('3b-SalesForecastYrs1-3'!AB72*'4-AdditionalInputs'!$E$17)+('3b-SalesForecastYrs1-3'!AA72*'4-AdditionalInputs'!$E$18)+('3b-SalesForecastYrs1-3'!Z72*'4-AdditionalInputs'!$E$19)</f>
        <v>#REF!</v>
      </c>
      <c r="AA17" s="79" t="e">
        <f>('3b-SalesForecastYrs1-3'!AC72*'4-AdditionalInputs'!$E$17)+('3b-SalesForecastYrs1-3'!AB72*'4-AdditionalInputs'!$E$18)+('3b-SalesForecastYrs1-3'!AA72*'4-AdditionalInputs'!$E$19)</f>
        <v>#REF!</v>
      </c>
      <c r="AB17" s="86" t="e">
        <f t="shared" ref="AB17:AB26" si="5">SUM(P17:AA17)</f>
        <v>#REF!</v>
      </c>
    </row>
    <row r="18" spans="1:28" x14ac:dyDescent="0.15">
      <c r="A18" s="176" t="s">
        <v>248</v>
      </c>
      <c r="B18" s="183"/>
      <c r="C18" s="79"/>
      <c r="D18" s="79"/>
      <c r="E18" s="79"/>
      <c r="F18" s="79"/>
      <c r="G18" s="79"/>
      <c r="H18" s="79"/>
      <c r="I18" s="79"/>
      <c r="J18" s="79"/>
      <c r="K18" s="79"/>
      <c r="L18" s="79"/>
      <c r="M18" s="79"/>
      <c r="N18" s="79"/>
      <c r="O18" s="86"/>
      <c r="P18" s="79"/>
      <c r="Q18" s="79"/>
      <c r="R18" s="79"/>
      <c r="S18" s="79"/>
      <c r="T18" s="79"/>
      <c r="U18" s="79"/>
      <c r="V18" s="79"/>
      <c r="W18" s="79"/>
      <c r="X18" s="79"/>
      <c r="Y18" s="79"/>
      <c r="Z18" s="79"/>
      <c r="AA18" s="79"/>
      <c r="AB18" s="86"/>
    </row>
    <row r="19" spans="1:28" x14ac:dyDescent="0.15">
      <c r="A19" s="178" t="s">
        <v>125</v>
      </c>
      <c r="B19" s="183">
        <f>'6a-CashFlowYear1'!O20</f>
        <v>0</v>
      </c>
      <c r="C19" s="79">
        <f>SUM('5b-OpExYrs1-3'!$E8:$E22)/12</f>
        <v>0</v>
      </c>
      <c r="D19" s="79">
        <f>SUM('5b-OpExYrs1-3'!$E8:$E22)/12</f>
        <v>0</v>
      </c>
      <c r="E19" s="79">
        <f>SUM('5b-OpExYrs1-3'!$E8:$E22)/12</f>
        <v>0</v>
      </c>
      <c r="F19" s="79">
        <f>SUM('5b-OpExYrs1-3'!$E8:$E22)/12</f>
        <v>0</v>
      </c>
      <c r="G19" s="79">
        <f>SUM('5b-OpExYrs1-3'!$E8:$E22)/12</f>
        <v>0</v>
      </c>
      <c r="H19" s="79">
        <f>SUM('5b-OpExYrs1-3'!$E8:$E22)/12</f>
        <v>0</v>
      </c>
      <c r="I19" s="79">
        <f>SUM('5b-OpExYrs1-3'!$E8:$E22)/12</f>
        <v>0</v>
      </c>
      <c r="J19" s="79">
        <f>SUM('5b-OpExYrs1-3'!$E8:$E22)/12</f>
        <v>0</v>
      </c>
      <c r="K19" s="79">
        <f>SUM('5b-OpExYrs1-3'!$E8:$E22)/12</f>
        <v>0</v>
      </c>
      <c r="L19" s="79">
        <f>SUM('5b-OpExYrs1-3'!$E8:$E22)/12</f>
        <v>0</v>
      </c>
      <c r="M19" s="79">
        <f>SUM('5b-OpExYrs1-3'!$E8:$E22)/12</f>
        <v>0</v>
      </c>
      <c r="N19" s="79">
        <f>SUM('5b-OpExYrs1-3'!$E8:$E22)/12</f>
        <v>0</v>
      </c>
      <c r="O19" s="86">
        <f>SUM(C19:N19)</f>
        <v>0</v>
      </c>
      <c r="P19" s="79">
        <f>SUM('5b-OpExYrs1-3'!$G8:$G22)/12</f>
        <v>0</v>
      </c>
      <c r="Q19" s="79">
        <f>SUM('5b-OpExYrs1-3'!$G8:$G22)/12</f>
        <v>0</v>
      </c>
      <c r="R19" s="79">
        <f>SUM('5b-OpExYrs1-3'!$G8:$G22)/12</f>
        <v>0</v>
      </c>
      <c r="S19" s="79">
        <f>SUM('5b-OpExYrs1-3'!$G8:$G22)/12</f>
        <v>0</v>
      </c>
      <c r="T19" s="79">
        <f>SUM('5b-OpExYrs1-3'!$G8:$G22)/12</f>
        <v>0</v>
      </c>
      <c r="U19" s="79">
        <f>SUM('5b-OpExYrs1-3'!$G8:$G22)/12</f>
        <v>0</v>
      </c>
      <c r="V19" s="79">
        <f>SUM('5b-OpExYrs1-3'!$G8:$G22)/12</f>
        <v>0</v>
      </c>
      <c r="W19" s="79">
        <f>SUM('5b-OpExYrs1-3'!$G8:$G22)/12</f>
        <v>0</v>
      </c>
      <c r="X19" s="79">
        <f>SUM('5b-OpExYrs1-3'!$G8:$G22)/12</f>
        <v>0</v>
      </c>
      <c r="Y19" s="79">
        <f>SUM('5b-OpExYrs1-3'!$G8:$G22)/12</f>
        <v>0</v>
      </c>
      <c r="Z19" s="79">
        <f>SUM('5b-OpExYrs1-3'!$G8:$G22)/12</f>
        <v>0</v>
      </c>
      <c r="AA19" s="79">
        <f>SUM('5b-OpExYrs1-3'!$G8:$G22)/12</f>
        <v>0</v>
      </c>
      <c r="AB19" s="86">
        <f t="shared" si="5"/>
        <v>0</v>
      </c>
    </row>
    <row r="20" spans="1:28" x14ac:dyDescent="0.15">
      <c r="A20" s="178" t="s">
        <v>202</v>
      </c>
      <c r="B20" s="183">
        <f>'6a-CashFlowYear1'!O21</f>
        <v>0</v>
      </c>
      <c r="C20" s="79">
        <f>'2b-PayrollYrs1-3'!$E$26/12</f>
        <v>0</v>
      </c>
      <c r="D20" s="79">
        <f>'2b-PayrollYrs1-3'!$E$26/12</f>
        <v>0</v>
      </c>
      <c r="E20" s="79">
        <f>'2b-PayrollYrs1-3'!$E$26/12</f>
        <v>0</v>
      </c>
      <c r="F20" s="79">
        <f>'2b-PayrollYrs1-3'!$E$26/12</f>
        <v>0</v>
      </c>
      <c r="G20" s="79">
        <f>'2b-PayrollYrs1-3'!$E$26/12</f>
        <v>0</v>
      </c>
      <c r="H20" s="79">
        <f>'2b-PayrollYrs1-3'!$E$26/12</f>
        <v>0</v>
      </c>
      <c r="I20" s="79">
        <f>'2b-PayrollYrs1-3'!$E$26/12</f>
        <v>0</v>
      </c>
      <c r="J20" s="79">
        <f>'2b-PayrollYrs1-3'!$E$26/12</f>
        <v>0</v>
      </c>
      <c r="K20" s="79">
        <f>'2b-PayrollYrs1-3'!$E$26/12</f>
        <v>0</v>
      </c>
      <c r="L20" s="79">
        <f>'2b-PayrollYrs1-3'!$E$26/12</f>
        <v>0</v>
      </c>
      <c r="M20" s="79">
        <f>'2b-PayrollYrs1-3'!$E$26/12</f>
        <v>0</v>
      </c>
      <c r="N20" s="79">
        <f>'2b-PayrollYrs1-3'!$E$26/12</f>
        <v>0</v>
      </c>
      <c r="O20" s="86">
        <f>SUM(C20:N20)</f>
        <v>0</v>
      </c>
      <c r="P20" s="79">
        <f>'2b-PayrollYrs1-3'!$G$26/12</f>
        <v>0</v>
      </c>
      <c r="Q20" s="79">
        <f>'2b-PayrollYrs1-3'!$G$26/12</f>
        <v>0</v>
      </c>
      <c r="R20" s="79">
        <f>'2b-PayrollYrs1-3'!$G$26/12</f>
        <v>0</v>
      </c>
      <c r="S20" s="79">
        <f>'2b-PayrollYrs1-3'!$G$26/12</f>
        <v>0</v>
      </c>
      <c r="T20" s="79">
        <f>'2b-PayrollYrs1-3'!$G$26/12</f>
        <v>0</v>
      </c>
      <c r="U20" s="79">
        <f>'2b-PayrollYrs1-3'!$G$26/12</f>
        <v>0</v>
      </c>
      <c r="V20" s="79">
        <f>'2b-PayrollYrs1-3'!$G$26/12</f>
        <v>0</v>
      </c>
      <c r="W20" s="79">
        <f>'2b-PayrollYrs1-3'!$G$26/12</f>
        <v>0</v>
      </c>
      <c r="X20" s="79">
        <f>'2b-PayrollYrs1-3'!$G$26/12</f>
        <v>0</v>
      </c>
      <c r="Y20" s="79">
        <f>'2b-PayrollYrs1-3'!$G$26/12</f>
        <v>0</v>
      </c>
      <c r="Z20" s="79">
        <f>'2b-PayrollYrs1-3'!$G$26/12</f>
        <v>0</v>
      </c>
      <c r="AA20" s="79">
        <f>'2b-PayrollYrs1-3'!$G$26/12</f>
        <v>0</v>
      </c>
      <c r="AB20" s="86">
        <f t="shared" si="5"/>
        <v>0</v>
      </c>
    </row>
    <row r="21" spans="1:28" x14ac:dyDescent="0.15">
      <c r="A21" s="178" t="s">
        <v>150</v>
      </c>
      <c r="B21" s="183" t="e">
        <f>'6a-CashFlowYear1'!O22</f>
        <v>#REF!</v>
      </c>
      <c r="C21" s="79">
        <v>0</v>
      </c>
      <c r="D21" s="79">
        <v>0</v>
      </c>
      <c r="E21" s="79" t="e">
        <f>SUM('7b-IncomeStatementYrs1-3'!C73:E73)</f>
        <v>#REF!</v>
      </c>
      <c r="F21" s="79">
        <v>0</v>
      </c>
      <c r="G21" s="79">
        <v>0</v>
      </c>
      <c r="H21" s="79" t="e">
        <f>SUM('7b-IncomeStatementYrs1-3'!F73:H73)</f>
        <v>#REF!</v>
      </c>
      <c r="I21" s="79">
        <v>0</v>
      </c>
      <c r="J21" s="79">
        <v>0</v>
      </c>
      <c r="K21" s="79" t="e">
        <f>SUM('7b-IncomeStatementYrs1-3'!I73:K73)</f>
        <v>#REF!</v>
      </c>
      <c r="L21" s="79">
        <v>0</v>
      </c>
      <c r="M21" s="79">
        <v>0</v>
      </c>
      <c r="N21" s="79" t="e">
        <f>SUM('7b-IncomeStatementYrs1-3'!L73:N73)</f>
        <v>#REF!</v>
      </c>
      <c r="O21" s="86"/>
      <c r="P21" s="79">
        <v>0</v>
      </c>
      <c r="Q21" s="79">
        <v>0</v>
      </c>
      <c r="R21" s="79" t="e">
        <f>SUM('7b-IncomeStatementYrs1-3'!C77:E77)</f>
        <v>#REF!</v>
      </c>
      <c r="S21" s="79">
        <v>0</v>
      </c>
      <c r="T21" s="79">
        <v>0</v>
      </c>
      <c r="U21" s="79" t="e">
        <f>SUM('7b-IncomeStatementYrs1-3'!F77:H77)</f>
        <v>#REF!</v>
      </c>
      <c r="V21" s="79">
        <v>0</v>
      </c>
      <c r="W21" s="79">
        <v>0</v>
      </c>
      <c r="X21" s="79" t="e">
        <f>SUM('7b-IncomeStatementYrs1-3'!I77:K77)</f>
        <v>#REF!</v>
      </c>
      <c r="Y21" s="79">
        <v>0</v>
      </c>
      <c r="Z21" s="79">
        <v>0</v>
      </c>
      <c r="AA21" s="79" t="e">
        <f>SUM('7b-IncomeStatementYrs1-3'!L77:N77)</f>
        <v>#REF!</v>
      </c>
      <c r="AB21" s="86" t="e">
        <f t="shared" si="5"/>
        <v>#REF!</v>
      </c>
    </row>
    <row r="22" spans="1:28" x14ac:dyDescent="0.15">
      <c r="A22" s="176" t="s">
        <v>25</v>
      </c>
      <c r="B22" s="183"/>
      <c r="C22" s="79"/>
      <c r="D22" s="79"/>
      <c r="E22" s="79"/>
      <c r="F22" s="79"/>
      <c r="G22" s="79"/>
      <c r="H22" s="79"/>
      <c r="I22" s="79"/>
      <c r="J22" s="79"/>
      <c r="K22" s="79"/>
      <c r="L22" s="79"/>
      <c r="M22" s="79"/>
      <c r="N22" s="79"/>
      <c r="O22" s="86"/>
      <c r="P22" s="79"/>
      <c r="Q22" s="79"/>
      <c r="R22" s="79"/>
      <c r="S22" s="79"/>
      <c r="T22" s="79"/>
      <c r="U22" s="79"/>
      <c r="V22" s="79"/>
      <c r="W22" s="79"/>
      <c r="X22" s="79"/>
      <c r="Y22" s="79"/>
      <c r="Z22" s="79"/>
      <c r="AA22" s="79"/>
      <c r="AB22" s="86"/>
    </row>
    <row r="23" spans="1:28" x14ac:dyDescent="0.15">
      <c r="A23" s="181" t="s">
        <v>26</v>
      </c>
      <c r="B23" s="183" t="e">
        <f>'6a-CashFlowYear1'!O24</f>
        <v>#NUM!</v>
      </c>
      <c r="C23" s="79">
        <f>SUM('Amortization&amp;Depreciation'!C19:C20)+SUM('Amortization&amp;Depreciation'!C39:C40)+SUM('Amortization&amp;Depreciation'!C59:C60)+SUM('Amortization&amp;Depreciation'!C79:C80)+SUM('Amortization&amp;Depreciation'!C99:C100)</f>
        <v>0</v>
      </c>
      <c r="D23" s="79">
        <f>SUM('Amortization&amp;Depreciation'!D19:D20)+SUM('Amortization&amp;Depreciation'!D39:D40)+SUM('Amortization&amp;Depreciation'!D59:D60)+SUM('Amortization&amp;Depreciation'!D79:D80)+SUM('Amortization&amp;Depreciation'!D99:D100)</f>
        <v>0</v>
      </c>
      <c r="E23" s="79">
        <f>SUM('Amortization&amp;Depreciation'!E19:E20)+SUM('Amortization&amp;Depreciation'!E39:E40)+SUM('Amortization&amp;Depreciation'!E59:E60)+SUM('Amortization&amp;Depreciation'!E79:E80)+SUM('Amortization&amp;Depreciation'!E99:E100)</f>
        <v>0</v>
      </c>
      <c r="F23" s="79">
        <f>SUM('Amortization&amp;Depreciation'!F19:F20)+SUM('Amortization&amp;Depreciation'!F39:F40)+SUM('Amortization&amp;Depreciation'!F59:F60)+SUM('Amortization&amp;Depreciation'!F79:F80)+SUM('Amortization&amp;Depreciation'!F99:F100)</f>
        <v>0</v>
      </c>
      <c r="G23" s="79">
        <f>SUM('Amortization&amp;Depreciation'!G19:G20)+SUM('Amortization&amp;Depreciation'!G39:G40)+SUM('Amortization&amp;Depreciation'!G59:G60)+SUM('Amortization&amp;Depreciation'!G79:G80)+SUM('Amortization&amp;Depreciation'!G99:G100)</f>
        <v>0</v>
      </c>
      <c r="H23" s="79">
        <f>SUM('Amortization&amp;Depreciation'!H19:H20)+SUM('Amortization&amp;Depreciation'!H39:H40)+SUM('Amortization&amp;Depreciation'!H59:H60)+SUM('Amortization&amp;Depreciation'!H79:H80)+SUM('Amortization&amp;Depreciation'!H99:H100)</f>
        <v>0</v>
      </c>
      <c r="I23" s="79">
        <f>SUM('Amortization&amp;Depreciation'!I19:I20)+SUM('Amortization&amp;Depreciation'!I39:I40)+SUM('Amortization&amp;Depreciation'!I59:I60)+SUM('Amortization&amp;Depreciation'!I79:I80)+SUM('Amortization&amp;Depreciation'!I99:I100)</f>
        <v>0</v>
      </c>
      <c r="J23" s="79">
        <f>SUM('Amortization&amp;Depreciation'!J19:J20)+SUM('Amortization&amp;Depreciation'!J39:J40)+SUM('Amortization&amp;Depreciation'!J59:J60)+SUM('Amortization&amp;Depreciation'!J79:J80)+SUM('Amortization&amp;Depreciation'!J99:J100)</f>
        <v>0</v>
      </c>
      <c r="K23" s="79">
        <f>SUM('Amortization&amp;Depreciation'!K19:K20)+SUM('Amortization&amp;Depreciation'!K39:K40)+SUM('Amortization&amp;Depreciation'!K59:K60)+SUM('Amortization&amp;Depreciation'!K79:K80)+SUM('Amortization&amp;Depreciation'!K99:K100)</f>
        <v>0</v>
      </c>
      <c r="L23" s="79">
        <f>SUM('Amortization&amp;Depreciation'!L19:L20)+SUM('Amortization&amp;Depreciation'!L39:L40)+SUM('Amortization&amp;Depreciation'!L59:L60)+SUM('Amortization&amp;Depreciation'!L79:L80)+SUM('Amortization&amp;Depreciation'!L99:L100)</f>
        <v>0</v>
      </c>
      <c r="M23" s="79">
        <f>SUM('Amortization&amp;Depreciation'!M19:M20)+SUM('Amortization&amp;Depreciation'!M39:M40)+SUM('Amortization&amp;Depreciation'!M59:M60)+SUM('Amortization&amp;Depreciation'!M79:M80)+SUM('Amortization&amp;Depreciation'!M99:M100)</f>
        <v>0</v>
      </c>
      <c r="N23" s="79">
        <f>SUM('Amortization&amp;Depreciation'!N19:N20)+SUM('Amortization&amp;Depreciation'!N39:N40)+SUM('Amortization&amp;Depreciation'!N59:N60)+SUM('Amortization&amp;Depreciation'!N79:N80)+SUM('Amortization&amp;Depreciation'!N99:N100)</f>
        <v>0</v>
      </c>
      <c r="O23" s="86">
        <f>SUM(C23:N23)</f>
        <v>0</v>
      </c>
      <c r="P23" s="79">
        <f>SUM('Amortization&amp;Depreciation'!C23:C24)+SUM('Amortization&amp;Depreciation'!C43:C44)+SUM('Amortization&amp;Depreciation'!C63:C64)+SUM('Amortization&amp;Depreciation'!C83:C84)+SUM('Amortization&amp;Depreciation'!C103:C104)</f>
        <v>0</v>
      </c>
      <c r="Q23" s="79">
        <f>SUM('Amortization&amp;Depreciation'!D23:D24)+SUM('Amortization&amp;Depreciation'!D43:D44)+SUM('Amortization&amp;Depreciation'!D63:D64)+SUM('Amortization&amp;Depreciation'!D83:D84)+SUM('Amortization&amp;Depreciation'!D103:D104)</f>
        <v>0</v>
      </c>
      <c r="R23" s="79">
        <f>SUM('Amortization&amp;Depreciation'!E23:E24)+SUM('Amortization&amp;Depreciation'!E43:E44)+SUM('Amortization&amp;Depreciation'!E63:E64)+SUM('Amortization&amp;Depreciation'!E83:E84)+SUM('Amortization&amp;Depreciation'!E103:E104)</f>
        <v>0</v>
      </c>
      <c r="S23" s="79">
        <f>SUM('Amortization&amp;Depreciation'!F23:F24)+SUM('Amortization&amp;Depreciation'!F43:F44)+SUM('Amortization&amp;Depreciation'!F63:F64)+SUM('Amortization&amp;Depreciation'!F83:F84)+SUM('Amortization&amp;Depreciation'!F103:F104)</f>
        <v>0</v>
      </c>
      <c r="T23" s="79">
        <f>SUM('Amortization&amp;Depreciation'!G23:G24)+SUM('Amortization&amp;Depreciation'!G43:G44)+SUM('Amortization&amp;Depreciation'!G63:G64)+SUM('Amortization&amp;Depreciation'!G83:G84)+SUM('Amortization&amp;Depreciation'!G103:G104)</f>
        <v>0</v>
      </c>
      <c r="U23" s="79">
        <f>SUM('Amortization&amp;Depreciation'!H23:H24)+SUM('Amortization&amp;Depreciation'!H43:H44)+SUM('Amortization&amp;Depreciation'!H63:H64)+SUM('Amortization&amp;Depreciation'!H83:H84)+SUM('Amortization&amp;Depreciation'!H103:H104)</f>
        <v>0</v>
      </c>
      <c r="V23" s="79">
        <f>SUM('Amortization&amp;Depreciation'!I23:I24)+SUM('Amortization&amp;Depreciation'!I43:I44)+SUM('Amortization&amp;Depreciation'!I63:I64)+SUM('Amortization&amp;Depreciation'!I83:I84)+SUM('Amortization&amp;Depreciation'!I103:I104)</f>
        <v>0</v>
      </c>
      <c r="W23" s="79">
        <f>SUM('Amortization&amp;Depreciation'!J23:J24)+SUM('Amortization&amp;Depreciation'!J43:J44)+SUM('Amortization&amp;Depreciation'!J63:J64)+SUM('Amortization&amp;Depreciation'!J83:J84)+SUM('Amortization&amp;Depreciation'!J103:J104)</f>
        <v>0</v>
      </c>
      <c r="X23" s="79">
        <f>SUM('Amortization&amp;Depreciation'!K23:K24)+SUM('Amortization&amp;Depreciation'!K43:K44)+SUM('Amortization&amp;Depreciation'!K63:K64)+SUM('Amortization&amp;Depreciation'!K83:K84)+SUM('Amortization&amp;Depreciation'!K103:K104)</f>
        <v>0</v>
      </c>
      <c r="Y23" s="79">
        <f>SUM('Amortization&amp;Depreciation'!L23:L24)+SUM('Amortization&amp;Depreciation'!L43:L44)+SUM('Amortization&amp;Depreciation'!L63:L64)+SUM('Amortization&amp;Depreciation'!L83:L84)+SUM('Amortization&amp;Depreciation'!L103:L104)</f>
        <v>0</v>
      </c>
      <c r="Z23" s="79" t="e">
        <f>SUM('Amortization&amp;Depreciation'!M23:M24)+SUM('Amortization&amp;Depreciation'!M43:M44)+SUM('Amortization&amp;Depreciation'!M63:M64)+SUM('Amortization&amp;Depreciation'!M83:M84)+SUM('Amortization&amp;Depreciation'!M103:M104)</f>
        <v>#NUM!</v>
      </c>
      <c r="AA23" s="79">
        <f>SUM('Amortization&amp;Depreciation'!N23:N24)+SUM('Amortization&amp;Depreciation'!N43:N44)+SUM('Amortization&amp;Depreciation'!N63:N64)+SUM('Amortization&amp;Depreciation'!N83:N84)+SUM('Amortization&amp;Depreciation'!N103:N104)</f>
        <v>0</v>
      </c>
      <c r="AB23" s="86" t="e">
        <f t="shared" si="5"/>
        <v>#NUM!</v>
      </c>
    </row>
    <row r="24" spans="1:28" x14ac:dyDescent="0.15">
      <c r="A24" s="181" t="s">
        <v>30</v>
      </c>
      <c r="B24" s="183">
        <f>'6a-CashFlowYear1'!O25</f>
        <v>0</v>
      </c>
      <c r="C24" s="146"/>
      <c r="D24" s="146"/>
      <c r="E24" s="146"/>
      <c r="F24" s="146"/>
      <c r="G24" s="146"/>
      <c r="H24" s="146"/>
      <c r="I24" s="146"/>
      <c r="J24" s="146"/>
      <c r="K24" s="146"/>
      <c r="L24" s="146"/>
      <c r="M24" s="146"/>
      <c r="N24" s="146"/>
      <c r="O24" s="86">
        <f>SUM(C24:N24)</f>
        <v>0</v>
      </c>
      <c r="P24" s="146"/>
      <c r="Q24" s="146"/>
      <c r="R24" s="146"/>
      <c r="S24" s="146"/>
      <c r="T24" s="146"/>
      <c r="U24" s="146"/>
      <c r="V24" s="146"/>
      <c r="W24" s="146"/>
      <c r="X24" s="146"/>
      <c r="Y24" s="146"/>
      <c r="Z24" s="146"/>
      <c r="AA24" s="146"/>
      <c r="AB24" s="86">
        <f t="shared" si="5"/>
        <v>0</v>
      </c>
    </row>
    <row r="25" spans="1:28" x14ac:dyDescent="0.15">
      <c r="A25" s="181" t="s">
        <v>191</v>
      </c>
      <c r="B25" s="183" t="e">
        <f>'6a-CashFlowYear1'!O26</f>
        <v>#DIV/0!</v>
      </c>
      <c r="C25" s="79" t="e">
        <f>'6a-CashFlowYear1'!N34*'4-AdditionalInputs'!$D$25/12</f>
        <v>#DIV/0!</v>
      </c>
      <c r="D25" s="79" t="e">
        <f>C33*'4-AdditionalInputs'!$D$25/12</f>
        <v>#DIV/0!</v>
      </c>
      <c r="E25" s="79" t="e">
        <f>D33*'4-AdditionalInputs'!$D$25/12</f>
        <v>#DIV/0!</v>
      </c>
      <c r="F25" s="79" t="e">
        <f>E33*'4-AdditionalInputs'!$D$25/12</f>
        <v>#DIV/0!</v>
      </c>
      <c r="G25" s="79" t="e">
        <f>F33*'4-AdditionalInputs'!$D$25/12</f>
        <v>#DIV/0!</v>
      </c>
      <c r="H25" s="79" t="e">
        <f>G33*'4-AdditionalInputs'!$D$25/12</f>
        <v>#DIV/0!</v>
      </c>
      <c r="I25" s="79" t="e">
        <f>H33*'4-AdditionalInputs'!$D$25/12</f>
        <v>#DIV/0!</v>
      </c>
      <c r="J25" s="79" t="e">
        <f>I33*'4-AdditionalInputs'!$D$25/12</f>
        <v>#DIV/0!</v>
      </c>
      <c r="K25" s="79" t="e">
        <f>J33*'4-AdditionalInputs'!$D$25/12</f>
        <v>#DIV/0!</v>
      </c>
      <c r="L25" s="79" t="e">
        <f>K33*'4-AdditionalInputs'!$D$25/12</f>
        <v>#DIV/0!</v>
      </c>
      <c r="M25" s="79" t="e">
        <f>L33*'4-AdditionalInputs'!$D$25/12</f>
        <v>#DIV/0!</v>
      </c>
      <c r="N25" s="79" t="e">
        <f>M33*'4-AdditionalInputs'!$D$25/12</f>
        <v>#DIV/0!</v>
      </c>
      <c r="O25" s="86" t="e">
        <f>SUM(C25:N25)</f>
        <v>#DIV/0!</v>
      </c>
      <c r="P25" s="79" t="e">
        <f>N33*'4-AdditionalInputs'!$D$25/12</f>
        <v>#DIV/0!</v>
      </c>
      <c r="Q25" s="79" t="e">
        <f>P33*'4-AdditionalInputs'!$D$25/12</f>
        <v>#DIV/0!</v>
      </c>
      <c r="R25" s="79" t="e">
        <f>Q33*'4-AdditionalInputs'!$D$25/12</f>
        <v>#DIV/0!</v>
      </c>
      <c r="S25" s="79" t="e">
        <f>R33*'4-AdditionalInputs'!$D$25/12</f>
        <v>#DIV/0!</v>
      </c>
      <c r="T25" s="79" t="e">
        <f>S33*'4-AdditionalInputs'!$D$25/12</f>
        <v>#DIV/0!</v>
      </c>
      <c r="U25" s="79" t="e">
        <f>T33*'4-AdditionalInputs'!$D$25/12</f>
        <v>#DIV/0!</v>
      </c>
      <c r="V25" s="79" t="e">
        <f>U33*'4-AdditionalInputs'!$D$25/12</f>
        <v>#DIV/0!</v>
      </c>
      <c r="W25" s="79" t="e">
        <f>V33*'4-AdditionalInputs'!$D$25/12</f>
        <v>#DIV/0!</v>
      </c>
      <c r="X25" s="79" t="e">
        <f>W33*'4-AdditionalInputs'!$D$25/12</f>
        <v>#DIV/0!</v>
      </c>
      <c r="Y25" s="79" t="e">
        <f>X33*'4-AdditionalInputs'!$D$25/12</f>
        <v>#DIV/0!</v>
      </c>
      <c r="Z25" s="79" t="e">
        <f>Y33*'4-AdditionalInputs'!$D$25/12</f>
        <v>#DIV/0!</v>
      </c>
      <c r="AA25" s="79" t="e">
        <f>Z33*'4-AdditionalInputs'!$D$25/12</f>
        <v>#DIV/0!</v>
      </c>
      <c r="AB25" s="86" t="e">
        <f t="shared" si="5"/>
        <v>#DIV/0!</v>
      </c>
    </row>
    <row r="26" spans="1:28" x14ac:dyDescent="0.15">
      <c r="A26" s="181" t="s">
        <v>192</v>
      </c>
      <c r="B26" s="183">
        <f>'6a-CashFlowYear1'!O27</f>
        <v>0</v>
      </c>
      <c r="C26" s="146"/>
      <c r="D26" s="146"/>
      <c r="E26" s="146"/>
      <c r="F26" s="146"/>
      <c r="G26" s="146"/>
      <c r="H26" s="146"/>
      <c r="I26" s="146"/>
      <c r="J26" s="146"/>
      <c r="K26" s="146"/>
      <c r="L26" s="146"/>
      <c r="M26" s="146"/>
      <c r="N26" s="146"/>
      <c r="O26" s="86">
        <f>SUM(C26:N26)</f>
        <v>0</v>
      </c>
      <c r="P26" s="146"/>
      <c r="Q26" s="146"/>
      <c r="R26" s="146"/>
      <c r="S26" s="146"/>
      <c r="T26" s="146"/>
      <c r="U26" s="146"/>
      <c r="V26" s="146"/>
      <c r="W26" s="146"/>
      <c r="X26" s="146"/>
      <c r="Y26" s="146"/>
      <c r="Z26" s="146"/>
      <c r="AA26" s="146"/>
      <c r="AB26" s="86">
        <f t="shared" si="5"/>
        <v>0</v>
      </c>
    </row>
    <row r="27" spans="1:28" x14ac:dyDescent="0.15">
      <c r="A27" s="181" t="s">
        <v>250</v>
      </c>
      <c r="B27" s="183">
        <f>'6a-CashFlowYear1'!O28</f>
        <v>0</v>
      </c>
      <c r="C27" s="146"/>
      <c r="D27" s="146"/>
      <c r="E27" s="146"/>
      <c r="F27" s="146"/>
      <c r="G27" s="146"/>
      <c r="H27" s="146"/>
      <c r="I27" s="146"/>
      <c r="J27" s="146"/>
      <c r="K27" s="146"/>
      <c r="L27" s="146"/>
      <c r="M27" s="146"/>
      <c r="N27" s="146"/>
      <c r="O27" s="86">
        <f>SUM(C27:N27)</f>
        <v>0</v>
      </c>
      <c r="P27" s="146"/>
      <c r="Q27" s="146"/>
      <c r="R27" s="146"/>
      <c r="S27" s="146"/>
      <c r="T27" s="146"/>
      <c r="U27" s="146"/>
      <c r="V27" s="146"/>
      <c r="W27" s="146"/>
      <c r="X27" s="146"/>
      <c r="Y27" s="146"/>
      <c r="Z27" s="146"/>
      <c r="AA27" s="146"/>
      <c r="AB27" s="86"/>
    </row>
    <row r="28" spans="1:28" x14ac:dyDescent="0.15">
      <c r="A28" s="179" t="s">
        <v>27</v>
      </c>
      <c r="B28" s="183" t="e">
        <f>'6a-CashFlowYear1'!O29</f>
        <v>#REF!</v>
      </c>
      <c r="C28" s="180" t="e">
        <f t="shared" ref="C28:AA28" si="6">SUM(C15:C27)</f>
        <v>#REF!</v>
      </c>
      <c r="D28" s="180" t="e">
        <f t="shared" si="6"/>
        <v>#REF!</v>
      </c>
      <c r="E28" s="180" t="e">
        <f t="shared" si="6"/>
        <v>#REF!</v>
      </c>
      <c r="F28" s="180" t="e">
        <f t="shared" si="6"/>
        <v>#REF!</v>
      </c>
      <c r="G28" s="180" t="e">
        <f t="shared" si="6"/>
        <v>#REF!</v>
      </c>
      <c r="H28" s="180" t="e">
        <f t="shared" si="6"/>
        <v>#REF!</v>
      </c>
      <c r="I28" s="180" t="e">
        <f t="shared" si="6"/>
        <v>#REF!</v>
      </c>
      <c r="J28" s="180" t="e">
        <f t="shared" si="6"/>
        <v>#REF!</v>
      </c>
      <c r="K28" s="180" t="e">
        <f t="shared" si="6"/>
        <v>#REF!</v>
      </c>
      <c r="L28" s="180" t="e">
        <f t="shared" si="6"/>
        <v>#REF!</v>
      </c>
      <c r="M28" s="180" t="e">
        <f t="shared" si="6"/>
        <v>#REF!</v>
      </c>
      <c r="N28" s="180" t="e">
        <f t="shared" si="6"/>
        <v>#REF!</v>
      </c>
      <c r="O28" s="86" t="e">
        <f t="shared" si="6"/>
        <v>#REF!</v>
      </c>
      <c r="P28" s="180" t="e">
        <f t="shared" si="6"/>
        <v>#REF!</v>
      </c>
      <c r="Q28" s="180" t="e">
        <f t="shared" si="6"/>
        <v>#REF!</v>
      </c>
      <c r="R28" s="180" t="e">
        <f t="shared" si="6"/>
        <v>#REF!</v>
      </c>
      <c r="S28" s="180" t="e">
        <f t="shared" si="6"/>
        <v>#REF!</v>
      </c>
      <c r="T28" s="180" t="e">
        <f t="shared" si="6"/>
        <v>#REF!</v>
      </c>
      <c r="U28" s="180" t="e">
        <f t="shared" si="6"/>
        <v>#REF!</v>
      </c>
      <c r="V28" s="180" t="e">
        <f t="shared" si="6"/>
        <v>#REF!</v>
      </c>
      <c r="W28" s="180" t="e">
        <f t="shared" si="6"/>
        <v>#REF!</v>
      </c>
      <c r="X28" s="180" t="e">
        <f t="shared" si="6"/>
        <v>#REF!</v>
      </c>
      <c r="Y28" s="180" t="e">
        <f t="shared" si="6"/>
        <v>#REF!</v>
      </c>
      <c r="Z28" s="180" t="e">
        <f t="shared" si="6"/>
        <v>#REF!</v>
      </c>
      <c r="AA28" s="180" t="e">
        <f t="shared" si="6"/>
        <v>#REF!</v>
      </c>
      <c r="AB28" s="86" t="e">
        <f t="shared" ref="AB28:AB29" si="7">SUM(P28:AA28)</f>
        <v>#REF!</v>
      </c>
    </row>
    <row r="29" spans="1:28" x14ac:dyDescent="0.15">
      <c r="A29" s="44" t="s">
        <v>116</v>
      </c>
      <c r="B29" s="183" t="e">
        <f>'6a-CashFlowYear1'!O30</f>
        <v>#DIV/0!</v>
      </c>
      <c r="C29" s="50" t="e">
        <f t="shared" ref="C29:AA29" si="8">C11-C28</f>
        <v>#REF!</v>
      </c>
      <c r="D29" s="50" t="e">
        <f t="shared" si="8"/>
        <v>#REF!</v>
      </c>
      <c r="E29" s="50" t="e">
        <f t="shared" si="8"/>
        <v>#REF!</v>
      </c>
      <c r="F29" s="50" t="e">
        <f t="shared" si="8"/>
        <v>#REF!</v>
      </c>
      <c r="G29" s="50" t="e">
        <f t="shared" si="8"/>
        <v>#REF!</v>
      </c>
      <c r="H29" s="50" t="e">
        <f t="shared" si="8"/>
        <v>#REF!</v>
      </c>
      <c r="I29" s="50" t="e">
        <f t="shared" si="8"/>
        <v>#REF!</v>
      </c>
      <c r="J29" s="50" t="e">
        <f t="shared" si="8"/>
        <v>#REF!</v>
      </c>
      <c r="K29" s="50" t="e">
        <f t="shared" si="8"/>
        <v>#REF!</v>
      </c>
      <c r="L29" s="50" t="e">
        <f t="shared" si="8"/>
        <v>#REF!</v>
      </c>
      <c r="M29" s="50" t="e">
        <f t="shared" si="8"/>
        <v>#REF!</v>
      </c>
      <c r="N29" s="50" t="e">
        <f t="shared" si="8"/>
        <v>#REF!</v>
      </c>
      <c r="O29" s="86" t="e">
        <f t="shared" si="8"/>
        <v>#REF!</v>
      </c>
      <c r="P29" s="50" t="e">
        <f t="shared" si="8"/>
        <v>#REF!</v>
      </c>
      <c r="Q29" s="50" t="e">
        <f t="shared" si="8"/>
        <v>#REF!</v>
      </c>
      <c r="R29" s="50" t="e">
        <f t="shared" si="8"/>
        <v>#REF!</v>
      </c>
      <c r="S29" s="50" t="e">
        <f t="shared" si="8"/>
        <v>#REF!</v>
      </c>
      <c r="T29" s="50" t="e">
        <f t="shared" si="8"/>
        <v>#REF!</v>
      </c>
      <c r="U29" s="50" t="e">
        <f t="shared" si="8"/>
        <v>#REF!</v>
      </c>
      <c r="V29" s="50" t="e">
        <f t="shared" si="8"/>
        <v>#REF!</v>
      </c>
      <c r="W29" s="50" t="e">
        <f t="shared" si="8"/>
        <v>#REF!</v>
      </c>
      <c r="X29" s="50" t="e">
        <f t="shared" si="8"/>
        <v>#REF!</v>
      </c>
      <c r="Y29" s="50" t="e">
        <f t="shared" si="8"/>
        <v>#REF!</v>
      </c>
      <c r="Z29" s="50" t="e">
        <f t="shared" si="8"/>
        <v>#REF!</v>
      </c>
      <c r="AA29" s="50" t="e">
        <f t="shared" si="8"/>
        <v>#REF!</v>
      </c>
      <c r="AB29" s="86" t="e">
        <f t="shared" si="7"/>
        <v>#REF!</v>
      </c>
    </row>
    <row r="30" spans="1:28" x14ac:dyDescent="0.15">
      <c r="A30" s="44" t="s">
        <v>214</v>
      </c>
      <c r="B30" s="44"/>
      <c r="C30" s="50" t="e">
        <f t="shared" ref="C30:N30" si="9">C7+C29</f>
        <v>#DIV/0!</v>
      </c>
      <c r="D30" s="50" t="e">
        <f t="shared" si="9"/>
        <v>#DIV/0!</v>
      </c>
      <c r="E30" s="50" t="e">
        <f t="shared" si="9"/>
        <v>#DIV/0!</v>
      </c>
      <c r="F30" s="50" t="e">
        <f t="shared" si="9"/>
        <v>#DIV/0!</v>
      </c>
      <c r="G30" s="50" t="e">
        <f t="shared" si="9"/>
        <v>#DIV/0!</v>
      </c>
      <c r="H30" s="50" t="e">
        <f t="shared" si="9"/>
        <v>#DIV/0!</v>
      </c>
      <c r="I30" s="50" t="e">
        <f t="shared" si="9"/>
        <v>#DIV/0!</v>
      </c>
      <c r="J30" s="50" t="e">
        <f t="shared" si="9"/>
        <v>#DIV/0!</v>
      </c>
      <c r="K30" s="50" t="e">
        <f t="shared" si="9"/>
        <v>#DIV/0!</v>
      </c>
      <c r="L30" s="50" t="e">
        <f t="shared" si="9"/>
        <v>#DIV/0!</v>
      </c>
      <c r="M30" s="50" t="e">
        <f t="shared" si="9"/>
        <v>#DIV/0!</v>
      </c>
      <c r="N30" s="50" t="e">
        <f t="shared" si="9"/>
        <v>#DIV/0!</v>
      </c>
      <c r="O30" s="86"/>
      <c r="P30" s="50" t="e">
        <f t="shared" ref="P30:AA30" si="10">P7+P29</f>
        <v>#DIV/0!</v>
      </c>
      <c r="Q30" s="50" t="e">
        <f t="shared" si="10"/>
        <v>#DIV/0!</v>
      </c>
      <c r="R30" s="50" t="e">
        <f t="shared" si="10"/>
        <v>#DIV/0!</v>
      </c>
      <c r="S30" s="50" t="e">
        <f t="shared" si="10"/>
        <v>#DIV/0!</v>
      </c>
      <c r="T30" s="50" t="e">
        <f t="shared" si="10"/>
        <v>#DIV/0!</v>
      </c>
      <c r="U30" s="50" t="e">
        <f t="shared" si="10"/>
        <v>#DIV/0!</v>
      </c>
      <c r="V30" s="50" t="e">
        <f t="shared" si="10"/>
        <v>#DIV/0!</v>
      </c>
      <c r="W30" s="50" t="e">
        <f t="shared" si="10"/>
        <v>#DIV/0!</v>
      </c>
      <c r="X30" s="50" t="e">
        <f t="shared" si="10"/>
        <v>#DIV/0!</v>
      </c>
      <c r="Y30" s="50" t="e">
        <f t="shared" si="10"/>
        <v>#DIV/0!</v>
      </c>
      <c r="Z30" s="50" t="e">
        <f t="shared" si="10"/>
        <v>#DIV/0!</v>
      </c>
      <c r="AA30" s="50" t="e">
        <f t="shared" si="10"/>
        <v>#DIV/0!</v>
      </c>
      <c r="AB30" s="86"/>
    </row>
    <row r="31" spans="1:28" x14ac:dyDescent="0.15">
      <c r="A31" s="44" t="s">
        <v>165</v>
      </c>
      <c r="B31" s="183" t="e">
        <f>'6a-CashFlowYear1'!O32</f>
        <v>#DIV/0!</v>
      </c>
      <c r="C31" s="50" t="e">
        <f>IF(C30&lt;'4-AdditionalInputs'!$D$24, '4-AdditionalInputs'!$D$24-C30, 0)</f>
        <v>#DIV/0!</v>
      </c>
      <c r="D31" s="50" t="e">
        <f>IF(D30&lt;'4-AdditionalInputs'!$D$24, '4-AdditionalInputs'!$D$24-D30, 0)</f>
        <v>#DIV/0!</v>
      </c>
      <c r="E31" s="50" t="e">
        <f>IF(E30&lt;'4-AdditionalInputs'!$D$24, '4-AdditionalInputs'!$D$24-E30, 0)</f>
        <v>#DIV/0!</v>
      </c>
      <c r="F31" s="50" t="e">
        <f>IF(F30&lt;'4-AdditionalInputs'!$D$24, '4-AdditionalInputs'!$D$24-F30, 0)</f>
        <v>#DIV/0!</v>
      </c>
      <c r="G31" s="50" t="e">
        <f>IF(G30&lt;'4-AdditionalInputs'!$D$24, '4-AdditionalInputs'!$D$24-G30, 0)</f>
        <v>#DIV/0!</v>
      </c>
      <c r="H31" s="50" t="e">
        <f>IF(H30&lt;'4-AdditionalInputs'!$D$24, '4-AdditionalInputs'!$D$24-H30, 0)</f>
        <v>#DIV/0!</v>
      </c>
      <c r="I31" s="50" t="e">
        <f>IF(I30&lt;'4-AdditionalInputs'!$D$24, '4-AdditionalInputs'!$D$24-I30, 0)</f>
        <v>#DIV/0!</v>
      </c>
      <c r="J31" s="50" t="e">
        <f>IF(J30&lt;'4-AdditionalInputs'!$D$24, '4-AdditionalInputs'!$D$24-J30, 0)</f>
        <v>#DIV/0!</v>
      </c>
      <c r="K31" s="50" t="e">
        <f>IF(K30&lt;'4-AdditionalInputs'!$D$24, '4-AdditionalInputs'!$D$24-K30, 0)</f>
        <v>#DIV/0!</v>
      </c>
      <c r="L31" s="50" t="e">
        <f>IF(L30&lt;'4-AdditionalInputs'!$D$24, '4-AdditionalInputs'!$D$24-L30, 0)</f>
        <v>#DIV/0!</v>
      </c>
      <c r="M31" s="50" t="e">
        <f>IF(M30&lt;'4-AdditionalInputs'!$D$24, '4-AdditionalInputs'!$D$24-M30, 0)</f>
        <v>#DIV/0!</v>
      </c>
      <c r="N31" s="50" t="e">
        <f>IF(N30&lt;'4-AdditionalInputs'!$D$24, '4-AdditionalInputs'!$D$24-N30, 0)</f>
        <v>#DIV/0!</v>
      </c>
      <c r="O31" s="86" t="e">
        <f>SUM(C31:N31)</f>
        <v>#DIV/0!</v>
      </c>
      <c r="P31" s="50" t="e">
        <f>IF(P30&lt;'4-AdditionalInputs'!$D$24, '4-AdditionalInputs'!$D$24-P30, 0)</f>
        <v>#DIV/0!</v>
      </c>
      <c r="Q31" s="50" t="e">
        <f>IF(Q30&lt;'4-AdditionalInputs'!$D$24, '4-AdditionalInputs'!$D$24-Q30, 0)</f>
        <v>#DIV/0!</v>
      </c>
      <c r="R31" s="50" t="e">
        <f>IF(R30&lt;'4-AdditionalInputs'!$D$24, '4-AdditionalInputs'!$D$24-R30, 0)</f>
        <v>#DIV/0!</v>
      </c>
      <c r="S31" s="50" t="e">
        <f>IF(S30&lt;'4-AdditionalInputs'!$D$24, '4-AdditionalInputs'!$D$24-S30, 0)</f>
        <v>#DIV/0!</v>
      </c>
      <c r="T31" s="50" t="e">
        <f>IF(T30&lt;'4-AdditionalInputs'!$D$24, '4-AdditionalInputs'!$D$24-T30, 0)</f>
        <v>#DIV/0!</v>
      </c>
      <c r="U31" s="50" t="e">
        <f>IF(U30&lt;'4-AdditionalInputs'!$D$24, '4-AdditionalInputs'!$D$24-U30, 0)</f>
        <v>#DIV/0!</v>
      </c>
      <c r="V31" s="50" t="e">
        <f>IF(V30&lt;'4-AdditionalInputs'!$D$24, '4-AdditionalInputs'!$D$24-V30, 0)</f>
        <v>#DIV/0!</v>
      </c>
      <c r="W31" s="50" t="e">
        <f>IF(W30&lt;'4-AdditionalInputs'!$D$24, '4-AdditionalInputs'!$D$24-W30, 0)</f>
        <v>#DIV/0!</v>
      </c>
      <c r="X31" s="50" t="e">
        <f>IF(X30&lt;'4-AdditionalInputs'!$D$24, '4-AdditionalInputs'!$D$24-X30, 0)</f>
        <v>#DIV/0!</v>
      </c>
      <c r="Y31" s="50" t="e">
        <f>IF(Y30&lt;'4-AdditionalInputs'!$D$24, '4-AdditionalInputs'!$D$24-Y30, 0)</f>
        <v>#DIV/0!</v>
      </c>
      <c r="Z31" s="50" t="e">
        <f>IF(Z30&lt;'4-AdditionalInputs'!$D$24, '4-AdditionalInputs'!$D$24-Z30, 0)</f>
        <v>#DIV/0!</v>
      </c>
      <c r="AA31" s="50" t="e">
        <f>IF(AA30&lt;'4-AdditionalInputs'!$D$24, '4-AdditionalInputs'!$D$24-AA30, 0)</f>
        <v>#DIV/0!</v>
      </c>
      <c r="AB31" s="86" t="e">
        <f>SUM(P31:AA31)</f>
        <v>#DIV/0!</v>
      </c>
    </row>
    <row r="32" spans="1:28" x14ac:dyDescent="0.15">
      <c r="A32" s="44" t="s">
        <v>28</v>
      </c>
      <c r="B32" s="44"/>
      <c r="C32" s="50" t="e">
        <f>SUM(C30+C31)</f>
        <v>#DIV/0!</v>
      </c>
      <c r="D32" s="50" t="e">
        <f t="shared" ref="D32:N32" si="11">SUM(D30+D31)</f>
        <v>#DIV/0!</v>
      </c>
      <c r="E32" s="50" t="e">
        <f t="shared" si="11"/>
        <v>#DIV/0!</v>
      </c>
      <c r="F32" s="50" t="e">
        <f t="shared" si="11"/>
        <v>#DIV/0!</v>
      </c>
      <c r="G32" s="50" t="e">
        <f t="shared" si="11"/>
        <v>#DIV/0!</v>
      </c>
      <c r="H32" s="50" t="e">
        <f t="shared" si="11"/>
        <v>#DIV/0!</v>
      </c>
      <c r="I32" s="50" t="e">
        <f t="shared" si="11"/>
        <v>#DIV/0!</v>
      </c>
      <c r="J32" s="50" t="e">
        <f t="shared" si="11"/>
        <v>#DIV/0!</v>
      </c>
      <c r="K32" s="50" t="e">
        <f t="shared" si="11"/>
        <v>#DIV/0!</v>
      </c>
      <c r="L32" s="50" t="e">
        <f t="shared" si="11"/>
        <v>#DIV/0!</v>
      </c>
      <c r="M32" s="50" t="e">
        <f t="shared" si="11"/>
        <v>#DIV/0!</v>
      </c>
      <c r="N32" s="50" t="e">
        <f t="shared" si="11"/>
        <v>#DIV/0!</v>
      </c>
      <c r="O32" s="44"/>
      <c r="P32" s="50" t="e">
        <f>SUM(P30+P31)</f>
        <v>#DIV/0!</v>
      </c>
      <c r="Q32" s="50" t="e">
        <f t="shared" ref="Q32:AA32" si="12">SUM(Q30+Q31)</f>
        <v>#DIV/0!</v>
      </c>
      <c r="R32" s="50" t="e">
        <f t="shared" si="12"/>
        <v>#DIV/0!</v>
      </c>
      <c r="S32" s="50" t="e">
        <f t="shared" si="12"/>
        <v>#DIV/0!</v>
      </c>
      <c r="T32" s="50" t="e">
        <f t="shared" si="12"/>
        <v>#DIV/0!</v>
      </c>
      <c r="U32" s="50" t="e">
        <f t="shared" si="12"/>
        <v>#DIV/0!</v>
      </c>
      <c r="V32" s="50" t="e">
        <f t="shared" si="12"/>
        <v>#DIV/0!</v>
      </c>
      <c r="W32" s="50" t="e">
        <f t="shared" si="12"/>
        <v>#DIV/0!</v>
      </c>
      <c r="X32" s="50" t="e">
        <f t="shared" si="12"/>
        <v>#DIV/0!</v>
      </c>
      <c r="Y32" s="50" t="e">
        <f t="shared" si="12"/>
        <v>#DIV/0!</v>
      </c>
      <c r="Z32" s="50" t="e">
        <f t="shared" si="12"/>
        <v>#DIV/0!</v>
      </c>
      <c r="AA32" s="50" t="e">
        <f t="shared" si="12"/>
        <v>#DIV/0!</v>
      </c>
      <c r="AB32" s="86"/>
    </row>
    <row r="33" spans="1:28" x14ac:dyDescent="0.15">
      <c r="A33" s="24" t="s">
        <v>190</v>
      </c>
      <c r="B33" s="24"/>
      <c r="C33" s="34" t="e">
        <f>IF(C31=0,'6a-CashFlowYear1'!N34-C26,'6a-CashFlowYear1'!N34+C31-C26)</f>
        <v>#DIV/0!</v>
      </c>
      <c r="D33" s="34" t="e">
        <f>D31+C33-D26</f>
        <v>#DIV/0!</v>
      </c>
      <c r="E33" s="34" t="e">
        <f t="shared" ref="E33:N33" si="13">E31+D33-E26</f>
        <v>#DIV/0!</v>
      </c>
      <c r="F33" s="34" t="e">
        <f t="shared" si="13"/>
        <v>#DIV/0!</v>
      </c>
      <c r="G33" s="34" t="e">
        <f t="shared" si="13"/>
        <v>#DIV/0!</v>
      </c>
      <c r="H33" s="34" t="e">
        <f t="shared" si="13"/>
        <v>#DIV/0!</v>
      </c>
      <c r="I33" s="34" t="e">
        <f t="shared" si="13"/>
        <v>#DIV/0!</v>
      </c>
      <c r="J33" s="34" t="e">
        <f t="shared" si="13"/>
        <v>#DIV/0!</v>
      </c>
      <c r="K33" s="34" t="e">
        <f t="shared" si="13"/>
        <v>#DIV/0!</v>
      </c>
      <c r="L33" s="34" t="e">
        <f t="shared" si="13"/>
        <v>#DIV/0!</v>
      </c>
      <c r="M33" s="34" t="e">
        <f t="shared" si="13"/>
        <v>#DIV/0!</v>
      </c>
      <c r="N33" s="34" t="e">
        <f t="shared" si="13"/>
        <v>#DIV/0!</v>
      </c>
      <c r="O33" s="24"/>
      <c r="P33" s="34" t="e">
        <f>IF(P31=0,N33-P26,N33+P31-P26)</f>
        <v>#DIV/0!</v>
      </c>
      <c r="Q33" s="34" t="e">
        <f>Q31+P33-Q26</f>
        <v>#DIV/0!</v>
      </c>
      <c r="R33" s="34" t="e">
        <f t="shared" ref="R33" si="14">R31+Q33-R26</f>
        <v>#DIV/0!</v>
      </c>
      <c r="S33" s="34" t="e">
        <f t="shared" ref="S33" si="15">S31+R33-S26</f>
        <v>#DIV/0!</v>
      </c>
      <c r="T33" s="34" t="e">
        <f t="shared" ref="T33" si="16">T31+S33-T26</f>
        <v>#DIV/0!</v>
      </c>
      <c r="U33" s="34" t="e">
        <f t="shared" ref="U33" si="17">U31+T33-U26</f>
        <v>#DIV/0!</v>
      </c>
      <c r="V33" s="34" t="e">
        <f t="shared" ref="V33" si="18">V31+U33-V26</f>
        <v>#DIV/0!</v>
      </c>
      <c r="W33" s="34" t="e">
        <f t="shared" ref="W33" si="19">W31+V33-W26</f>
        <v>#DIV/0!</v>
      </c>
      <c r="X33" s="34" t="e">
        <f t="shared" ref="X33" si="20">X31+W33-X26</f>
        <v>#DIV/0!</v>
      </c>
      <c r="Y33" s="34" t="e">
        <f t="shared" ref="Y33" si="21">Y31+X33-Y26</f>
        <v>#DIV/0!</v>
      </c>
      <c r="Z33" s="34" t="e">
        <f t="shared" ref="Z33" si="22">Z31+Y33-Z26</f>
        <v>#DIV/0!</v>
      </c>
      <c r="AA33" s="34" t="e">
        <f t="shared" ref="AA33" si="23">AA31+Z33-AA26</f>
        <v>#DIV/0!</v>
      </c>
      <c r="AB33" s="86"/>
    </row>
  </sheetData>
  <sheetProtection algorithmName="SHA-512" hashValue="rY9LJHQtoBSwRZQ6XycgenkhXaQ1x5bRA/Gs44GE7AylhCpAHKQqstT2yMgPJMnJ8r/jZ08ZNX5UD399sBTZrQ==" saltValue="/k8CFwyiQMiXdds9oOVfdQ==" spinCount="100000" sheet="1" objects="1" scenarios="1" formatColumns="0" formatRows="0"/>
  <phoneticPr fontId="3" type="noConversion"/>
  <conditionalFormatting sqref="C16:N16">
    <cfRule type="containsBlanks" dxfId="48" priority="24" stopIfTrue="1">
      <formula>LEN(TRIM(C16))=0</formula>
    </cfRule>
  </conditionalFormatting>
  <conditionalFormatting sqref="C24:N24 C26:N27">
    <cfRule type="containsBlanks" dxfId="47" priority="23" stopIfTrue="1">
      <formula>LEN(TRIM(C24))=0</formula>
    </cfRule>
  </conditionalFormatting>
  <conditionalFormatting sqref="C31:N31">
    <cfRule type="containsBlanks" dxfId="46" priority="14">
      <formula>LEN(TRIM(C31))=0</formula>
    </cfRule>
  </conditionalFormatting>
  <conditionalFormatting sqref="C32:N32">
    <cfRule type="expression" dxfId="45" priority="16" stopIfTrue="1">
      <formula>ISERROR(C32)</formula>
    </cfRule>
  </conditionalFormatting>
  <conditionalFormatting sqref="C23:AA23">
    <cfRule type="expression" dxfId="44" priority="5" stopIfTrue="1">
      <formula>ISERROR(C23)</formula>
    </cfRule>
  </conditionalFormatting>
  <conditionalFormatting sqref="C28:AB28 AB29">
    <cfRule type="expression" dxfId="43" priority="11" stopIfTrue="1">
      <formula>ISERROR(C28)</formula>
    </cfRule>
  </conditionalFormatting>
  <conditionalFormatting sqref="D31:N31 D7:N7 C29:N30">
    <cfRule type="expression" dxfId="42" priority="17" stopIfTrue="1">
      <formula>ISERROR(C7)</formula>
    </cfRule>
  </conditionalFormatting>
  <conditionalFormatting sqref="O29">
    <cfRule type="expression" dxfId="41" priority="4" stopIfTrue="1">
      <formula>ISERROR(O29)</formula>
    </cfRule>
  </conditionalFormatting>
  <conditionalFormatting sqref="O31">
    <cfRule type="expression" dxfId="40" priority="1" stopIfTrue="1">
      <formula>ISERROR(O31)</formula>
    </cfRule>
  </conditionalFormatting>
  <conditionalFormatting sqref="P16:AA16">
    <cfRule type="containsBlanks" dxfId="39" priority="22" stopIfTrue="1">
      <formula>LEN(TRIM(P16))=0</formula>
    </cfRule>
  </conditionalFormatting>
  <conditionalFormatting sqref="P24:AA24 P26:AA27">
    <cfRule type="containsBlanks" dxfId="38" priority="25" stopIfTrue="1">
      <formula>LEN(TRIM(P24))=0</formula>
    </cfRule>
  </conditionalFormatting>
  <conditionalFormatting sqref="P31:AA31">
    <cfRule type="containsBlanks" dxfId="37" priority="7">
      <formula>LEN(TRIM(P31))=0</formula>
    </cfRule>
  </conditionalFormatting>
  <conditionalFormatting sqref="P32:AA32">
    <cfRule type="expression" dxfId="36" priority="9" stopIfTrue="1">
      <formula>ISERROR(P32)</formula>
    </cfRule>
  </conditionalFormatting>
  <conditionalFormatting sqref="Q31:AA31 Q7:AA7 P29:AA30">
    <cfRule type="expression" dxfId="35" priority="10" stopIfTrue="1">
      <formula>ISERROR(P7)</formula>
    </cfRule>
  </conditionalFormatting>
  <conditionalFormatting sqref="AB30:AB33">
    <cfRule type="expression" dxfId="34" priority="8" stopIfTrue="1">
      <formula>ISERROR(AB30)</formula>
    </cfRule>
  </conditionalFormatting>
  <dataValidations disablePrompts="1" count="1">
    <dataValidation type="textLength" allowBlank="1" showInputMessage="1" showErrorMessage="1" sqref="B4" xr:uid="{00000000-0002-0000-0B00-000000000000}">
      <formula1>1</formula1>
      <formula2>15</formula2>
    </dataValidation>
  </dataValidations>
  <pageMargins left="0.7" right="0.7" top="0.75" bottom="0.75" header="0.3" footer="0.3"/>
  <pageSetup scale="71" fitToWidth="2" orientation="landscape"/>
  <headerFooter differentFirst="1" scaleWithDoc="0">
    <oddHeader>&amp;C&amp;"Gill Sans MT,Regular"&amp;12Cash Flow Forecast Years 1-3</oddHeader>
    <oddFooter>&amp;L&amp;F&amp;C&amp;A&amp;R&amp;D &amp;T</oddFooter>
    <evenHeader>&amp;C&amp;"Gill Sans MT,Regular"Cash Flow Forecast Years 1-3</evenHeader>
    <firstHeader>&amp;C&amp;"Gill Sans MT,Regular"&amp;12Cash Flow Forecast Years 1-3</firstHeader>
    <firstFooter>&amp;L&amp;F&amp;C&amp;A&amp;R&amp;D &amp;T</firstFooter>
  </headerFooter>
  <colBreaks count="1" manualBreakCount="1">
    <brk id="15" min="2" max="32" man="1"/>
  </colBreaks>
  <ignoredErrors>
    <ignoredError sqref="O31" formula="1"/>
  </ignoredErrors>
  <drawing r:id="rId1"/>
  <legacyDrawing r:id="rId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rgb="FFFFC95B"/>
    <pageSetUpPr autoPageBreaks="0"/>
  </sheetPr>
  <dimension ref="A1:O75"/>
  <sheetViews>
    <sheetView topLeftCell="B31" workbookViewId="0">
      <selection activeCell="O68" sqref="O68"/>
    </sheetView>
  </sheetViews>
  <sheetFormatPr baseColWidth="10" defaultColWidth="9.1640625" defaultRowHeight="12" x14ac:dyDescent="0.15"/>
  <cols>
    <col min="1" max="1" width="9.1640625" style="5"/>
    <col min="2" max="2" width="44" style="5" bestFit="1" customWidth="1"/>
    <col min="3" max="5" width="12.83203125" style="5" bestFit="1" customWidth="1"/>
    <col min="6" max="6" width="12.1640625" style="5" bestFit="1" customWidth="1"/>
    <col min="7" max="7" width="11.6640625" style="5" bestFit="1" customWidth="1"/>
    <col min="8" max="8" width="12.5" style="5" bestFit="1" customWidth="1"/>
    <col min="9" max="14" width="11.6640625" style="5" bestFit="1" customWidth="1"/>
    <col min="15" max="15" width="14.5" style="5" bestFit="1" customWidth="1"/>
    <col min="16" max="16384" width="9.1640625" style="5"/>
  </cols>
  <sheetData>
    <row r="1" spans="2:15" x14ac:dyDescent="0.15">
      <c r="B1" s="184"/>
      <c r="C1" s="184"/>
    </row>
    <row r="2" spans="2:15" x14ac:dyDescent="0.15">
      <c r="B2" s="730" t="s">
        <v>315</v>
      </c>
      <c r="C2" s="730"/>
    </row>
    <row r="3" spans="2:15" x14ac:dyDescent="0.15">
      <c r="B3" s="52"/>
      <c r="C3" s="9"/>
    </row>
    <row r="4" spans="2:15" x14ac:dyDescent="0.15">
      <c r="B4" s="55" t="s">
        <v>119</v>
      </c>
      <c r="C4" s="716" t="s">
        <v>120</v>
      </c>
      <c r="D4" s="716"/>
    </row>
    <row r="5" spans="2:15" x14ac:dyDescent="0.15">
      <c r="B5" s="18" t="str">
        <f>IF(ISBLANK(Directions!C6), "Owner", Directions!C6)</f>
        <v>Owner</v>
      </c>
      <c r="C5" s="717" t="str">
        <f>IF(ISBLANK(Directions!D6), "Company 1", Directions!D6)</f>
        <v>Company 1</v>
      </c>
      <c r="D5" s="717"/>
    </row>
    <row r="6" spans="2:15" x14ac:dyDescent="0.15">
      <c r="B6" s="18"/>
      <c r="C6" s="18"/>
    </row>
    <row r="7" spans="2:15" ht="14" thickBot="1" x14ac:dyDescent="0.2">
      <c r="B7" s="326"/>
      <c r="C7" s="326" t="str">
        <f>'2a-PayrollYear1'!F7</f>
        <v>Month 1</v>
      </c>
      <c r="D7" s="326" t="str">
        <f>'2a-PayrollYear1'!G7</f>
        <v>Month 2</v>
      </c>
      <c r="E7" s="326" t="str">
        <f>'2a-PayrollYear1'!H7</f>
        <v>Month 3</v>
      </c>
      <c r="F7" s="326" t="str">
        <f>'2a-PayrollYear1'!I7</f>
        <v>Month 4</v>
      </c>
      <c r="G7" s="326" t="str">
        <f>'2a-PayrollYear1'!J7</f>
        <v>Month 5</v>
      </c>
      <c r="H7" s="326" t="str">
        <f>'2a-PayrollYear1'!K7</f>
        <v>Month 6</v>
      </c>
      <c r="I7" s="326" t="str">
        <f>'2a-PayrollYear1'!L7</f>
        <v>Month 7</v>
      </c>
      <c r="J7" s="326" t="str">
        <f>'2a-PayrollYear1'!M7</f>
        <v>Month 8</v>
      </c>
      <c r="K7" s="326" t="str">
        <f>'2a-PayrollYear1'!N7</f>
        <v>Month 9</v>
      </c>
      <c r="L7" s="326" t="str">
        <f>'2a-PayrollYear1'!O7</f>
        <v>Month 10</v>
      </c>
      <c r="M7" s="326" t="str">
        <f>'2a-PayrollYear1'!P7</f>
        <v>Month 11</v>
      </c>
      <c r="N7" s="326" t="str">
        <f>'2a-PayrollYear1'!Q7</f>
        <v>Month 12</v>
      </c>
      <c r="O7" s="326" t="str">
        <f>'2a-PayrollYear1'!R7</f>
        <v>Annual Totals</v>
      </c>
    </row>
    <row r="8" spans="2:15" ht="13" thickTop="1" x14ac:dyDescent="0.15">
      <c r="B8" s="328" t="s">
        <v>128</v>
      </c>
      <c r="C8" s="303"/>
      <c r="D8" s="303"/>
      <c r="E8" s="303"/>
      <c r="F8" s="303"/>
      <c r="G8" s="303"/>
      <c r="H8" s="303"/>
      <c r="I8" s="303"/>
      <c r="J8" s="303"/>
      <c r="K8" s="303"/>
      <c r="L8" s="303"/>
      <c r="M8" s="303"/>
      <c r="N8" s="303"/>
      <c r="O8" s="303"/>
    </row>
    <row r="9" spans="2:15" x14ac:dyDescent="0.15">
      <c r="B9" s="185" t="str">
        <f>SalesForecastYear1!B24</f>
        <v>Classroom or program 1</v>
      </c>
      <c r="C9" s="28">
        <f>SalesForecastYear1!C26</f>
        <v>0</v>
      </c>
      <c r="D9" s="28">
        <f>SalesForecastYear1!D26</f>
        <v>0</v>
      </c>
      <c r="E9" s="28">
        <f>SalesForecastYear1!E26</f>
        <v>0</v>
      </c>
      <c r="F9" s="28">
        <f>SalesForecastYear1!F26</f>
        <v>0</v>
      </c>
      <c r="G9" s="28">
        <f>SalesForecastYear1!G26</f>
        <v>0</v>
      </c>
      <c r="H9" s="28">
        <f>SalesForecastYear1!H26</f>
        <v>0</v>
      </c>
      <c r="I9" s="28">
        <f>SalesForecastYear1!I26</f>
        <v>0</v>
      </c>
      <c r="J9" s="28">
        <f>SalesForecastYear1!J26</f>
        <v>0</v>
      </c>
      <c r="K9" s="28">
        <f>SalesForecastYear1!K26</f>
        <v>0</v>
      </c>
      <c r="L9" s="28">
        <f>SalesForecastYear1!L26</f>
        <v>0</v>
      </c>
      <c r="M9" s="28">
        <f>SalesForecastYear1!M26</f>
        <v>0</v>
      </c>
      <c r="N9" s="28">
        <f>SalesForecastYear1!N26</f>
        <v>0</v>
      </c>
      <c r="O9" s="34">
        <f>SUM(C9:N9)</f>
        <v>0</v>
      </c>
    </row>
    <row r="10" spans="2:15" x14ac:dyDescent="0.15">
      <c r="B10" s="186" t="str">
        <f>SalesForecastYear1!B33</f>
        <v>Classroom or program 2</v>
      </c>
      <c r="C10" s="28">
        <f>SalesForecastYear1!C35</f>
        <v>0</v>
      </c>
      <c r="D10" s="28">
        <f>SalesForecastYear1!D35</f>
        <v>0</v>
      </c>
      <c r="E10" s="28">
        <f>SalesForecastYear1!E35</f>
        <v>0</v>
      </c>
      <c r="F10" s="28">
        <f>SalesForecastYear1!F35</f>
        <v>0</v>
      </c>
      <c r="G10" s="28">
        <f>SalesForecastYear1!G35</f>
        <v>0</v>
      </c>
      <c r="H10" s="28">
        <f>SalesForecastYear1!H35</f>
        <v>0</v>
      </c>
      <c r="I10" s="28">
        <f>SalesForecastYear1!I35</f>
        <v>0</v>
      </c>
      <c r="J10" s="28">
        <f>SalesForecastYear1!J35</f>
        <v>0</v>
      </c>
      <c r="K10" s="28">
        <f>SalesForecastYear1!K35</f>
        <v>0</v>
      </c>
      <c r="L10" s="28">
        <f>SalesForecastYear1!L35</f>
        <v>0</v>
      </c>
      <c r="M10" s="28">
        <f>SalesForecastYear1!M35</f>
        <v>0</v>
      </c>
      <c r="N10" s="28">
        <f>SalesForecastYear1!N35</f>
        <v>0</v>
      </c>
      <c r="O10" s="34">
        <f t="shared" ref="O10:O19" si="0">SUM(C10:N10)</f>
        <v>0</v>
      </c>
    </row>
    <row r="11" spans="2:15" x14ac:dyDescent="0.15">
      <c r="B11" s="185" t="str">
        <f>SalesForecastYear1!B40</f>
        <v>Classroom or program 3</v>
      </c>
      <c r="C11" s="28">
        <f>SalesForecastYear1!C42</f>
        <v>0</v>
      </c>
      <c r="D11" s="28">
        <f>SalesForecastYear1!D42</f>
        <v>0</v>
      </c>
      <c r="E11" s="28">
        <f>SalesForecastYear1!E42</f>
        <v>0</v>
      </c>
      <c r="F11" s="28">
        <f>SalesForecastYear1!F42</f>
        <v>0</v>
      </c>
      <c r="G11" s="28">
        <f>SalesForecastYear1!G42</f>
        <v>0</v>
      </c>
      <c r="H11" s="28">
        <f>SalesForecastYear1!H42</f>
        <v>0</v>
      </c>
      <c r="I11" s="28">
        <f>SalesForecastYear1!I42</f>
        <v>0</v>
      </c>
      <c r="J11" s="28">
        <f>SalesForecastYear1!J42</f>
        <v>0</v>
      </c>
      <c r="K11" s="28">
        <f>SalesForecastYear1!K42</f>
        <v>0</v>
      </c>
      <c r="L11" s="28">
        <f>SalesForecastYear1!L42</f>
        <v>0</v>
      </c>
      <c r="M11" s="28">
        <f>SalesForecastYear1!M42</f>
        <v>0</v>
      </c>
      <c r="N11" s="28">
        <f>SalesForecastYear1!N42</f>
        <v>0</v>
      </c>
      <c r="O11" s="34">
        <f t="shared" si="0"/>
        <v>0</v>
      </c>
    </row>
    <row r="12" spans="2:15" x14ac:dyDescent="0.15">
      <c r="B12" s="185" t="str">
        <f>SalesForecastYear1!B47</f>
        <v>Classroom or program 4</v>
      </c>
      <c r="C12" s="28">
        <f>SalesForecastYear1!C49</f>
        <v>0</v>
      </c>
      <c r="D12" s="28">
        <f>SalesForecastYear1!D49</f>
        <v>0</v>
      </c>
      <c r="E12" s="28">
        <f>SalesForecastYear1!E49</f>
        <v>0</v>
      </c>
      <c r="F12" s="28">
        <f>SalesForecastYear1!F49</f>
        <v>0</v>
      </c>
      <c r="G12" s="28">
        <f>SalesForecastYear1!G49</f>
        <v>0</v>
      </c>
      <c r="H12" s="28">
        <f>SalesForecastYear1!H49</f>
        <v>0</v>
      </c>
      <c r="I12" s="28">
        <f>SalesForecastYear1!I49</f>
        <v>0</v>
      </c>
      <c r="J12" s="28">
        <f>SalesForecastYear1!J49</f>
        <v>0</v>
      </c>
      <c r="K12" s="28">
        <f>SalesForecastYear1!K49</f>
        <v>0</v>
      </c>
      <c r="L12" s="28">
        <f>SalesForecastYear1!L49</f>
        <v>0</v>
      </c>
      <c r="M12" s="28">
        <f>SalesForecastYear1!M49</f>
        <v>0</v>
      </c>
      <c r="N12" s="28">
        <f>SalesForecastYear1!N49</f>
        <v>0</v>
      </c>
      <c r="O12" s="34">
        <f t="shared" si="0"/>
        <v>0</v>
      </c>
    </row>
    <row r="13" spans="2:15" x14ac:dyDescent="0.15">
      <c r="B13" s="185" t="str">
        <f>SalesForecastYear1!B54</f>
        <v>Classroom or program 5</v>
      </c>
      <c r="C13" s="28">
        <f>SalesForecastYear1!C56</f>
        <v>0</v>
      </c>
      <c r="D13" s="28">
        <f>SalesForecastYear1!D56</f>
        <v>0</v>
      </c>
      <c r="E13" s="28">
        <f>SalesForecastYear1!E56</f>
        <v>0</v>
      </c>
      <c r="F13" s="28">
        <f>SalesForecastYear1!F56</f>
        <v>0</v>
      </c>
      <c r="G13" s="28">
        <f>SalesForecastYear1!G56</f>
        <v>0</v>
      </c>
      <c r="H13" s="28">
        <f>SalesForecastYear1!H56</f>
        <v>0</v>
      </c>
      <c r="I13" s="28">
        <f>SalesForecastYear1!I56</f>
        <v>0</v>
      </c>
      <c r="J13" s="28">
        <f>SalesForecastYear1!J56</f>
        <v>0</v>
      </c>
      <c r="K13" s="28">
        <f>SalesForecastYear1!K56</f>
        <v>0</v>
      </c>
      <c r="L13" s="28">
        <f>SalesForecastYear1!L56</f>
        <v>0</v>
      </c>
      <c r="M13" s="28">
        <f>SalesForecastYear1!M56</f>
        <v>0</v>
      </c>
      <c r="N13" s="28">
        <f>SalesForecastYear1!N56</f>
        <v>0</v>
      </c>
      <c r="O13" s="34">
        <f t="shared" si="0"/>
        <v>0</v>
      </c>
    </row>
    <row r="14" spans="2:15" x14ac:dyDescent="0.15">
      <c r="B14" s="185" t="e">
        <f>SalesForecastYear1!#REF!</f>
        <v>#REF!</v>
      </c>
      <c r="C14" s="28" t="e">
        <f>SalesForecastYear1!#REF!</f>
        <v>#REF!</v>
      </c>
      <c r="D14" s="28" t="e">
        <f>SalesForecastYear1!#REF!</f>
        <v>#REF!</v>
      </c>
      <c r="E14" s="28" t="e">
        <f>SalesForecastYear1!#REF!</f>
        <v>#REF!</v>
      </c>
      <c r="F14" s="28" t="e">
        <f>SalesForecastYear1!#REF!</f>
        <v>#REF!</v>
      </c>
      <c r="G14" s="28" t="e">
        <f>SalesForecastYear1!#REF!</f>
        <v>#REF!</v>
      </c>
      <c r="H14" s="28" t="e">
        <f>SalesForecastYear1!#REF!</f>
        <v>#REF!</v>
      </c>
      <c r="I14" s="28" t="e">
        <f>SalesForecastYear1!#REF!</f>
        <v>#REF!</v>
      </c>
      <c r="J14" s="28" t="e">
        <f>SalesForecastYear1!#REF!</f>
        <v>#REF!</v>
      </c>
      <c r="K14" s="28" t="e">
        <f>SalesForecastYear1!#REF!</f>
        <v>#REF!</v>
      </c>
      <c r="L14" s="28" t="e">
        <f>SalesForecastYear1!#REF!</f>
        <v>#REF!</v>
      </c>
      <c r="M14" s="28" t="e">
        <f>SalesForecastYear1!#REF!</f>
        <v>#REF!</v>
      </c>
      <c r="N14" s="28" t="e">
        <f>SalesForecastYear1!#REF!</f>
        <v>#REF!</v>
      </c>
      <c r="O14" s="34" t="e">
        <f t="shared" si="0"/>
        <v>#REF!</v>
      </c>
    </row>
    <row r="15" spans="2:15" x14ac:dyDescent="0.15">
      <c r="B15" s="185" t="str">
        <f>SalesForecastYear1!B68</f>
        <v>Classroom or program 7</v>
      </c>
      <c r="C15" s="28">
        <f>SalesForecastYear1!C70</f>
        <v>0</v>
      </c>
      <c r="D15" s="28">
        <f>SalesForecastYear1!D70</f>
        <v>0</v>
      </c>
      <c r="E15" s="28">
        <f>SalesForecastYear1!E70</f>
        <v>0</v>
      </c>
      <c r="F15" s="28">
        <f>SalesForecastYear1!F70</f>
        <v>0</v>
      </c>
      <c r="G15" s="28">
        <f>SalesForecastYear1!G70</f>
        <v>0</v>
      </c>
      <c r="H15" s="28">
        <f>SalesForecastYear1!H70</f>
        <v>0</v>
      </c>
      <c r="I15" s="28">
        <f>SalesForecastYear1!I70</f>
        <v>0</v>
      </c>
      <c r="J15" s="28">
        <f>SalesForecastYear1!J70</f>
        <v>0</v>
      </c>
      <c r="K15" s="28">
        <f>SalesForecastYear1!K70</f>
        <v>0</v>
      </c>
      <c r="L15" s="28">
        <f>SalesForecastYear1!L70</f>
        <v>0</v>
      </c>
      <c r="M15" s="28">
        <f>SalesForecastYear1!M70</f>
        <v>0</v>
      </c>
      <c r="N15" s="28">
        <f>SalesForecastYear1!N70</f>
        <v>0</v>
      </c>
      <c r="O15" s="34">
        <f t="shared" si="0"/>
        <v>0</v>
      </c>
    </row>
    <row r="16" spans="2:15" x14ac:dyDescent="0.15">
      <c r="B16" s="185" t="str">
        <f>SalesForecastYear1!B61</f>
        <v>Classroom or program 6</v>
      </c>
      <c r="C16" s="28">
        <f>SalesForecastYear1!C63</f>
        <v>0</v>
      </c>
      <c r="D16" s="28">
        <f>SalesForecastYear1!D63</f>
        <v>0</v>
      </c>
      <c r="E16" s="28">
        <f>SalesForecastYear1!E63</f>
        <v>0</v>
      </c>
      <c r="F16" s="28">
        <f>SalesForecastYear1!F63</f>
        <v>0</v>
      </c>
      <c r="G16" s="28">
        <f>SalesForecastYear1!G63</f>
        <v>0</v>
      </c>
      <c r="H16" s="28">
        <f>SalesForecastYear1!H63</f>
        <v>0</v>
      </c>
      <c r="I16" s="28">
        <f>SalesForecastYear1!I63</f>
        <v>0</v>
      </c>
      <c r="J16" s="28">
        <f>SalesForecastYear1!J63</f>
        <v>0</v>
      </c>
      <c r="K16" s="28">
        <f>SalesForecastYear1!K63</f>
        <v>0</v>
      </c>
      <c r="L16" s="28">
        <f>SalesForecastYear1!L63</f>
        <v>0</v>
      </c>
      <c r="M16" s="28">
        <f>SalesForecastYear1!M63</f>
        <v>0</v>
      </c>
      <c r="N16" s="28">
        <f>SalesForecastYear1!N63</f>
        <v>0</v>
      </c>
      <c r="O16" s="34">
        <f t="shared" si="0"/>
        <v>0</v>
      </c>
    </row>
    <row r="17" spans="2:15" x14ac:dyDescent="0.15">
      <c r="B17" s="185" t="str">
        <f>SalesForecastYear1!B75</f>
        <v>Classroom or program 8</v>
      </c>
      <c r="C17" s="28">
        <f>SalesForecastYear1!C77</f>
        <v>0</v>
      </c>
      <c r="D17" s="28">
        <f>SalesForecastYear1!D77</f>
        <v>0</v>
      </c>
      <c r="E17" s="28">
        <f>SalesForecastYear1!E77</f>
        <v>0</v>
      </c>
      <c r="F17" s="28">
        <f>SalesForecastYear1!F77</f>
        <v>0</v>
      </c>
      <c r="G17" s="28">
        <f>SalesForecastYear1!G77</f>
        <v>0</v>
      </c>
      <c r="H17" s="28">
        <f>SalesForecastYear1!H77</f>
        <v>0</v>
      </c>
      <c r="I17" s="28">
        <f>SalesForecastYear1!I77</f>
        <v>0</v>
      </c>
      <c r="J17" s="28">
        <f>SalesForecastYear1!J77</f>
        <v>0</v>
      </c>
      <c r="K17" s="28">
        <f>SalesForecastYear1!K77</f>
        <v>0</v>
      </c>
      <c r="L17" s="28">
        <f>SalesForecastYear1!L77</f>
        <v>0</v>
      </c>
      <c r="M17" s="28">
        <f>SalesForecastYear1!M77</f>
        <v>0</v>
      </c>
      <c r="N17" s="28">
        <f>SalesForecastYear1!N77</f>
        <v>0</v>
      </c>
      <c r="O17" s="34">
        <f t="shared" si="0"/>
        <v>0</v>
      </c>
    </row>
    <row r="18" spans="2:15" x14ac:dyDescent="0.15">
      <c r="B18" s="185">
        <f>SalesForecastYear1!B82</f>
        <v>0</v>
      </c>
      <c r="C18" s="28">
        <f>SalesForecastYear1!E84</f>
        <v>0</v>
      </c>
      <c r="D18" s="28">
        <f>SalesForecastYear1!F84</f>
        <v>0</v>
      </c>
      <c r="E18" s="28">
        <f>SalesForecastYear1!G84</f>
        <v>0</v>
      </c>
      <c r="F18" s="28">
        <f>SalesForecastYear1!H84</f>
        <v>0</v>
      </c>
      <c r="G18" s="28">
        <f>SalesForecastYear1!I84</f>
        <v>0</v>
      </c>
      <c r="H18" s="28">
        <f>SalesForecastYear1!J84</f>
        <v>0</v>
      </c>
      <c r="I18" s="28">
        <f>SalesForecastYear1!K84</f>
        <v>0</v>
      </c>
      <c r="J18" s="28">
        <f>SalesForecastYear1!L84</f>
        <v>0</v>
      </c>
      <c r="K18" s="28">
        <f>SalesForecastYear1!M84</f>
        <v>0</v>
      </c>
      <c r="L18" s="28">
        <f>SalesForecastYear1!N84</f>
        <v>0</v>
      </c>
      <c r="M18" s="28">
        <f>SalesForecastYear1!O84</f>
        <v>0</v>
      </c>
      <c r="N18" s="28" t="e">
        <f>SalesForecastYear1!#REF!</f>
        <v>#REF!</v>
      </c>
      <c r="O18" s="34"/>
    </row>
    <row r="19" spans="2:15" x14ac:dyDescent="0.15">
      <c r="B19" s="44" t="s">
        <v>127</v>
      </c>
      <c r="C19" s="34" t="e">
        <f>SUM(C9:C18)</f>
        <v>#REF!</v>
      </c>
      <c r="D19" s="34" t="e">
        <f t="shared" ref="D19:N19" si="1">SUM(D9:D18)</f>
        <v>#REF!</v>
      </c>
      <c r="E19" s="34" t="e">
        <f t="shared" si="1"/>
        <v>#REF!</v>
      </c>
      <c r="F19" s="34" t="e">
        <f t="shared" si="1"/>
        <v>#REF!</v>
      </c>
      <c r="G19" s="34" t="e">
        <f t="shared" si="1"/>
        <v>#REF!</v>
      </c>
      <c r="H19" s="34" t="e">
        <f t="shared" si="1"/>
        <v>#REF!</v>
      </c>
      <c r="I19" s="34" t="e">
        <f t="shared" si="1"/>
        <v>#REF!</v>
      </c>
      <c r="J19" s="34" t="e">
        <f t="shared" si="1"/>
        <v>#REF!</v>
      </c>
      <c r="K19" s="34" t="e">
        <f t="shared" si="1"/>
        <v>#REF!</v>
      </c>
      <c r="L19" s="34" t="e">
        <f t="shared" si="1"/>
        <v>#REF!</v>
      </c>
      <c r="M19" s="34" t="e">
        <f t="shared" si="1"/>
        <v>#REF!</v>
      </c>
      <c r="N19" s="34" t="e">
        <f t="shared" si="1"/>
        <v>#REF!</v>
      </c>
      <c r="O19" s="34" t="e">
        <f t="shared" si="0"/>
        <v>#REF!</v>
      </c>
    </row>
    <row r="20" spans="2:15" x14ac:dyDescent="0.15">
      <c r="B20" s="44" t="s">
        <v>29</v>
      </c>
      <c r="C20" s="7"/>
      <c r="D20" s="7"/>
      <c r="E20" s="7"/>
      <c r="F20" s="7"/>
      <c r="G20" s="7"/>
      <c r="H20" s="7"/>
      <c r="I20" s="7"/>
      <c r="J20" s="7"/>
      <c r="K20" s="7"/>
      <c r="L20" s="7"/>
      <c r="M20" s="7"/>
      <c r="N20" s="7"/>
      <c r="O20" s="34"/>
    </row>
    <row r="21" spans="2:15" x14ac:dyDescent="0.15">
      <c r="B21" s="185" t="str">
        <f>SalesForecastYear1!B24</f>
        <v>Classroom or program 1</v>
      </c>
      <c r="C21" s="28" t="e">
        <f>SalesForecastYear1!#REF!</f>
        <v>#REF!</v>
      </c>
      <c r="D21" s="28" t="e">
        <f>SalesForecastYear1!#REF!</f>
        <v>#REF!</v>
      </c>
      <c r="E21" s="28" t="e">
        <f>SalesForecastYear1!#REF!</f>
        <v>#REF!</v>
      </c>
      <c r="F21" s="28" t="e">
        <f>SalesForecastYear1!#REF!</f>
        <v>#REF!</v>
      </c>
      <c r="G21" s="28" t="e">
        <f>SalesForecastYear1!#REF!</f>
        <v>#REF!</v>
      </c>
      <c r="H21" s="28" t="e">
        <f>SalesForecastYear1!#REF!</f>
        <v>#REF!</v>
      </c>
      <c r="I21" s="28" t="e">
        <f>SalesForecastYear1!#REF!</f>
        <v>#REF!</v>
      </c>
      <c r="J21" s="28" t="e">
        <f>SalesForecastYear1!#REF!</f>
        <v>#REF!</v>
      </c>
      <c r="K21" s="28" t="e">
        <f>SalesForecastYear1!#REF!</f>
        <v>#REF!</v>
      </c>
      <c r="L21" s="28" t="e">
        <f>SalesForecastYear1!#REF!</f>
        <v>#REF!</v>
      </c>
      <c r="M21" s="28" t="e">
        <f>SalesForecastYear1!#REF!</f>
        <v>#REF!</v>
      </c>
      <c r="N21" s="28" t="e">
        <f>SalesForecastYear1!#REF!</f>
        <v>#REF!</v>
      </c>
      <c r="O21" s="34" t="e">
        <f>SUM(C21:N21)</f>
        <v>#REF!</v>
      </c>
    </row>
    <row r="22" spans="2:15" x14ac:dyDescent="0.15">
      <c r="B22" s="186" t="str">
        <f>SalesForecastYear1!B33</f>
        <v>Classroom or program 2</v>
      </c>
      <c r="C22" s="28" t="e">
        <f>SalesForecastYear1!#REF!</f>
        <v>#REF!</v>
      </c>
      <c r="D22" s="28" t="e">
        <f>SalesForecastYear1!#REF!</f>
        <v>#REF!</v>
      </c>
      <c r="E22" s="28" t="e">
        <f>SalesForecastYear1!#REF!</f>
        <v>#REF!</v>
      </c>
      <c r="F22" s="28" t="e">
        <f>SalesForecastYear1!#REF!</f>
        <v>#REF!</v>
      </c>
      <c r="G22" s="28" t="e">
        <f>SalesForecastYear1!#REF!</f>
        <v>#REF!</v>
      </c>
      <c r="H22" s="28" t="e">
        <f>SalesForecastYear1!#REF!</f>
        <v>#REF!</v>
      </c>
      <c r="I22" s="28" t="e">
        <f>SalesForecastYear1!#REF!</f>
        <v>#REF!</v>
      </c>
      <c r="J22" s="28" t="e">
        <f>SalesForecastYear1!#REF!</f>
        <v>#REF!</v>
      </c>
      <c r="K22" s="28" t="e">
        <f>SalesForecastYear1!#REF!</f>
        <v>#REF!</v>
      </c>
      <c r="L22" s="28" t="e">
        <f>SalesForecastYear1!#REF!</f>
        <v>#REF!</v>
      </c>
      <c r="M22" s="28" t="e">
        <f>SalesForecastYear1!#REF!</f>
        <v>#REF!</v>
      </c>
      <c r="N22" s="28" t="e">
        <f>SalesForecastYear1!#REF!</f>
        <v>#REF!</v>
      </c>
      <c r="O22" s="34" t="e">
        <f t="shared" ref="O22:O33" si="2">SUM(C22:N22)</f>
        <v>#REF!</v>
      </c>
    </row>
    <row r="23" spans="2:15" x14ac:dyDescent="0.15">
      <c r="B23" s="185" t="str">
        <f>SalesForecastYear1!B40</f>
        <v>Classroom or program 3</v>
      </c>
      <c r="C23" s="28" t="str">
        <f>SalesForecastYear1!E46</f>
        <v xml:space="preserve"> </v>
      </c>
      <c r="D23" s="28" t="str">
        <f>SalesForecastYear1!F46</f>
        <v xml:space="preserve"> </v>
      </c>
      <c r="E23" s="28" t="str">
        <f>SalesForecastYear1!G46</f>
        <v xml:space="preserve"> </v>
      </c>
      <c r="F23" s="28" t="str">
        <f>SalesForecastYear1!H46</f>
        <v xml:space="preserve"> </v>
      </c>
      <c r="G23" s="28" t="str">
        <f>SalesForecastYear1!I46</f>
        <v xml:space="preserve"> </v>
      </c>
      <c r="H23" s="28" t="str">
        <f>SalesForecastYear1!J46</f>
        <v xml:space="preserve"> </v>
      </c>
      <c r="I23" s="28" t="str">
        <f>SalesForecastYear1!K46</f>
        <v xml:space="preserve"> </v>
      </c>
      <c r="J23" s="28" t="str">
        <f>SalesForecastYear1!L46</f>
        <v xml:space="preserve"> </v>
      </c>
      <c r="K23" s="28" t="str">
        <f>SalesForecastYear1!M46</f>
        <v xml:space="preserve"> </v>
      </c>
      <c r="L23" s="28" t="str">
        <f>SalesForecastYear1!N46</f>
        <v xml:space="preserve"> </v>
      </c>
      <c r="M23" s="28" t="str">
        <f>SalesForecastYear1!O46</f>
        <v xml:space="preserve"> </v>
      </c>
      <c r="N23" s="28" t="e">
        <f>SalesForecastYear1!#REF!</f>
        <v>#REF!</v>
      </c>
      <c r="O23" s="34" t="e">
        <f t="shared" si="2"/>
        <v>#REF!</v>
      </c>
    </row>
    <row r="24" spans="2:15" x14ac:dyDescent="0.15">
      <c r="B24" s="185" t="str">
        <f>SalesForecastYear1!B47</f>
        <v>Classroom or program 4</v>
      </c>
      <c r="C24" s="28" t="e">
        <f>SalesForecastYear1!#REF!</f>
        <v>#REF!</v>
      </c>
      <c r="D24" s="28" t="e">
        <f>SalesForecastYear1!#REF!</f>
        <v>#REF!</v>
      </c>
      <c r="E24" s="28" t="e">
        <f>SalesForecastYear1!#REF!</f>
        <v>#REF!</v>
      </c>
      <c r="F24" s="28" t="e">
        <f>SalesForecastYear1!#REF!</f>
        <v>#REF!</v>
      </c>
      <c r="G24" s="28" t="e">
        <f>SalesForecastYear1!#REF!</f>
        <v>#REF!</v>
      </c>
      <c r="H24" s="28" t="e">
        <f>SalesForecastYear1!#REF!</f>
        <v>#REF!</v>
      </c>
      <c r="I24" s="28" t="e">
        <f>SalesForecastYear1!#REF!</f>
        <v>#REF!</v>
      </c>
      <c r="J24" s="28" t="e">
        <f>SalesForecastYear1!#REF!</f>
        <v>#REF!</v>
      </c>
      <c r="K24" s="28" t="e">
        <f>SalesForecastYear1!#REF!</f>
        <v>#REF!</v>
      </c>
      <c r="L24" s="28" t="e">
        <f>SalesForecastYear1!#REF!</f>
        <v>#REF!</v>
      </c>
      <c r="M24" s="28" t="e">
        <f>SalesForecastYear1!#REF!</f>
        <v>#REF!</v>
      </c>
      <c r="N24" s="28" t="e">
        <f>SalesForecastYear1!#REF!</f>
        <v>#REF!</v>
      </c>
      <c r="O24" s="34" t="e">
        <f t="shared" si="2"/>
        <v>#REF!</v>
      </c>
    </row>
    <row r="25" spans="2:15" x14ac:dyDescent="0.15">
      <c r="B25" s="185" t="str">
        <f>SalesForecastYear1!B54</f>
        <v>Classroom or program 5</v>
      </c>
      <c r="C25" s="28" t="e">
        <f>SalesForecastYear1!#REF!</f>
        <v>#REF!</v>
      </c>
      <c r="D25" s="28" t="e">
        <f>SalesForecastYear1!#REF!</f>
        <v>#REF!</v>
      </c>
      <c r="E25" s="28" t="e">
        <f>SalesForecastYear1!#REF!</f>
        <v>#REF!</v>
      </c>
      <c r="F25" s="28" t="e">
        <f>SalesForecastYear1!#REF!</f>
        <v>#REF!</v>
      </c>
      <c r="G25" s="28" t="e">
        <f>SalesForecastYear1!#REF!</f>
        <v>#REF!</v>
      </c>
      <c r="H25" s="28" t="e">
        <f>SalesForecastYear1!#REF!</f>
        <v>#REF!</v>
      </c>
      <c r="I25" s="28" t="e">
        <f>SalesForecastYear1!#REF!</f>
        <v>#REF!</v>
      </c>
      <c r="J25" s="28" t="e">
        <f>SalesForecastYear1!#REF!</f>
        <v>#REF!</v>
      </c>
      <c r="K25" s="28" t="e">
        <f>SalesForecastYear1!#REF!</f>
        <v>#REF!</v>
      </c>
      <c r="L25" s="28" t="e">
        <f>SalesForecastYear1!#REF!</f>
        <v>#REF!</v>
      </c>
      <c r="M25" s="28" t="e">
        <f>SalesForecastYear1!#REF!</f>
        <v>#REF!</v>
      </c>
      <c r="N25" s="28" t="e">
        <f>SalesForecastYear1!#REF!</f>
        <v>#REF!</v>
      </c>
      <c r="O25" s="34" t="e">
        <f t="shared" si="2"/>
        <v>#REF!</v>
      </c>
    </row>
    <row r="26" spans="2:15" x14ac:dyDescent="0.15">
      <c r="B26" s="185" t="e">
        <f>SalesForecastYear1!#REF!</f>
        <v>#REF!</v>
      </c>
      <c r="C26" s="28" t="e">
        <f>SalesForecastYear1!#REF!</f>
        <v>#REF!</v>
      </c>
      <c r="D26" s="28" t="e">
        <f>SalesForecastYear1!#REF!</f>
        <v>#REF!</v>
      </c>
      <c r="E26" s="28" t="e">
        <f>SalesForecastYear1!#REF!</f>
        <v>#REF!</v>
      </c>
      <c r="F26" s="28" t="e">
        <f>SalesForecastYear1!#REF!</f>
        <v>#REF!</v>
      </c>
      <c r="G26" s="28" t="e">
        <f>SalesForecastYear1!#REF!</f>
        <v>#REF!</v>
      </c>
      <c r="H26" s="28" t="e">
        <f>SalesForecastYear1!#REF!</f>
        <v>#REF!</v>
      </c>
      <c r="I26" s="28" t="e">
        <f>SalesForecastYear1!#REF!</f>
        <v>#REF!</v>
      </c>
      <c r="J26" s="28" t="e">
        <f>SalesForecastYear1!#REF!</f>
        <v>#REF!</v>
      </c>
      <c r="K26" s="28" t="e">
        <f>SalesForecastYear1!#REF!</f>
        <v>#REF!</v>
      </c>
      <c r="L26" s="28" t="e">
        <f>SalesForecastYear1!#REF!</f>
        <v>#REF!</v>
      </c>
      <c r="M26" s="28" t="e">
        <f>SalesForecastYear1!#REF!</f>
        <v>#REF!</v>
      </c>
      <c r="N26" s="28" t="e">
        <f>SalesForecastYear1!#REF!</f>
        <v>#REF!</v>
      </c>
      <c r="O26" s="34" t="e">
        <f t="shared" si="2"/>
        <v>#REF!</v>
      </c>
    </row>
    <row r="27" spans="2:15" x14ac:dyDescent="0.15">
      <c r="B27" s="185" t="str">
        <f>SalesForecastYear1!B68</f>
        <v>Classroom or program 7</v>
      </c>
      <c r="C27" s="28" t="e">
        <f>SalesForecastYear1!#REF!</f>
        <v>#REF!</v>
      </c>
      <c r="D27" s="28" t="e">
        <f>SalesForecastYear1!#REF!</f>
        <v>#REF!</v>
      </c>
      <c r="E27" s="28" t="e">
        <f>SalesForecastYear1!#REF!</f>
        <v>#REF!</v>
      </c>
      <c r="F27" s="28" t="e">
        <f>SalesForecastYear1!#REF!</f>
        <v>#REF!</v>
      </c>
      <c r="G27" s="28" t="e">
        <f>SalesForecastYear1!#REF!</f>
        <v>#REF!</v>
      </c>
      <c r="H27" s="28" t="e">
        <f>SalesForecastYear1!#REF!</f>
        <v>#REF!</v>
      </c>
      <c r="I27" s="28" t="e">
        <f>SalesForecastYear1!#REF!</f>
        <v>#REF!</v>
      </c>
      <c r="J27" s="28" t="e">
        <f>SalesForecastYear1!#REF!</f>
        <v>#REF!</v>
      </c>
      <c r="K27" s="28" t="e">
        <f>SalesForecastYear1!#REF!</f>
        <v>#REF!</v>
      </c>
      <c r="L27" s="28" t="e">
        <f>SalesForecastYear1!#REF!</f>
        <v>#REF!</v>
      </c>
      <c r="M27" s="28" t="e">
        <f>SalesForecastYear1!#REF!</f>
        <v>#REF!</v>
      </c>
      <c r="N27" s="28" t="e">
        <f>SalesForecastYear1!#REF!</f>
        <v>#REF!</v>
      </c>
      <c r="O27" s="34" t="e">
        <f t="shared" si="2"/>
        <v>#REF!</v>
      </c>
    </row>
    <row r="28" spans="2:15" x14ac:dyDescent="0.15">
      <c r="B28" s="185" t="str">
        <f>SalesForecastYear1!B61</f>
        <v>Classroom or program 6</v>
      </c>
      <c r="C28" s="28" t="e">
        <f>SalesForecastYear1!#REF!</f>
        <v>#REF!</v>
      </c>
      <c r="D28" s="28" t="e">
        <f>SalesForecastYear1!#REF!</f>
        <v>#REF!</v>
      </c>
      <c r="E28" s="28" t="e">
        <f>SalesForecastYear1!#REF!</f>
        <v>#REF!</v>
      </c>
      <c r="F28" s="28" t="e">
        <f>SalesForecastYear1!#REF!</f>
        <v>#REF!</v>
      </c>
      <c r="G28" s="28" t="e">
        <f>SalesForecastYear1!#REF!</f>
        <v>#REF!</v>
      </c>
      <c r="H28" s="28" t="e">
        <f>SalesForecastYear1!#REF!</f>
        <v>#REF!</v>
      </c>
      <c r="I28" s="28" t="e">
        <f>SalesForecastYear1!#REF!</f>
        <v>#REF!</v>
      </c>
      <c r="J28" s="28" t="e">
        <f>SalesForecastYear1!#REF!</f>
        <v>#REF!</v>
      </c>
      <c r="K28" s="28" t="e">
        <f>SalesForecastYear1!#REF!</f>
        <v>#REF!</v>
      </c>
      <c r="L28" s="28" t="e">
        <f>SalesForecastYear1!#REF!</f>
        <v>#REF!</v>
      </c>
      <c r="M28" s="28" t="e">
        <f>SalesForecastYear1!#REF!</f>
        <v>#REF!</v>
      </c>
      <c r="N28" s="28" t="e">
        <f>SalesForecastYear1!#REF!</f>
        <v>#REF!</v>
      </c>
      <c r="O28" s="34" t="e">
        <f t="shared" si="2"/>
        <v>#REF!</v>
      </c>
    </row>
    <row r="29" spans="2:15" x14ac:dyDescent="0.15">
      <c r="B29" s="185" t="str">
        <f>SalesForecastYear1!B75</f>
        <v>Classroom or program 8</v>
      </c>
      <c r="C29" s="28" t="e">
        <f>SalesForecastYear1!#REF!</f>
        <v>#REF!</v>
      </c>
      <c r="D29" s="28" t="e">
        <f>SalesForecastYear1!#REF!</f>
        <v>#REF!</v>
      </c>
      <c r="E29" s="28" t="e">
        <f>SalesForecastYear1!#REF!</f>
        <v>#REF!</v>
      </c>
      <c r="F29" s="28" t="e">
        <f>SalesForecastYear1!#REF!</f>
        <v>#REF!</v>
      </c>
      <c r="G29" s="28" t="e">
        <f>SalesForecastYear1!#REF!</f>
        <v>#REF!</v>
      </c>
      <c r="H29" s="28" t="e">
        <f>SalesForecastYear1!#REF!</f>
        <v>#REF!</v>
      </c>
      <c r="I29" s="28" t="e">
        <f>SalesForecastYear1!#REF!</f>
        <v>#REF!</v>
      </c>
      <c r="J29" s="28" t="e">
        <f>SalesForecastYear1!#REF!</f>
        <v>#REF!</v>
      </c>
      <c r="K29" s="28" t="e">
        <f>SalesForecastYear1!#REF!</f>
        <v>#REF!</v>
      </c>
      <c r="L29" s="28" t="e">
        <f>SalesForecastYear1!#REF!</f>
        <v>#REF!</v>
      </c>
      <c r="M29" s="28" t="e">
        <f>SalesForecastYear1!#REF!</f>
        <v>#REF!</v>
      </c>
      <c r="N29" s="28" t="e">
        <f>SalesForecastYear1!#REF!</f>
        <v>#REF!</v>
      </c>
      <c r="O29" s="34" t="e">
        <f t="shared" si="2"/>
        <v>#REF!</v>
      </c>
    </row>
    <row r="30" spans="2:15" x14ac:dyDescent="0.15">
      <c r="B30" s="185">
        <f>SalesForecastYear1!B82</f>
        <v>0</v>
      </c>
      <c r="C30" s="28" t="e">
        <f>SalesForecastYear1!#REF!</f>
        <v>#REF!</v>
      </c>
      <c r="D30" s="28" t="e">
        <f>SalesForecastYear1!#REF!</f>
        <v>#REF!</v>
      </c>
      <c r="E30" s="28" t="e">
        <f>SalesForecastYear1!#REF!</f>
        <v>#REF!</v>
      </c>
      <c r="F30" s="28" t="e">
        <f>SalesForecastYear1!#REF!</f>
        <v>#REF!</v>
      </c>
      <c r="G30" s="28" t="e">
        <f>SalesForecastYear1!#REF!</f>
        <v>#REF!</v>
      </c>
      <c r="H30" s="28" t="e">
        <f>SalesForecastYear1!#REF!</f>
        <v>#REF!</v>
      </c>
      <c r="I30" s="28" t="e">
        <f>SalesForecastYear1!#REF!</f>
        <v>#REF!</v>
      </c>
      <c r="J30" s="28" t="e">
        <f>SalesForecastYear1!#REF!</f>
        <v>#REF!</v>
      </c>
      <c r="K30" s="28" t="e">
        <f>SalesForecastYear1!#REF!</f>
        <v>#REF!</v>
      </c>
      <c r="L30" s="28" t="e">
        <f>SalesForecastYear1!#REF!</f>
        <v>#REF!</v>
      </c>
      <c r="M30" s="28" t="e">
        <f>SalesForecastYear1!#REF!</f>
        <v>#REF!</v>
      </c>
      <c r="N30" s="28" t="e">
        <f>SalesForecastYear1!#REF!</f>
        <v>#REF!</v>
      </c>
      <c r="O30" s="34" t="e">
        <f t="shared" si="2"/>
        <v>#REF!</v>
      </c>
    </row>
    <row r="31" spans="2:15" x14ac:dyDescent="0.15">
      <c r="B31" s="187" t="s">
        <v>102</v>
      </c>
      <c r="C31" s="34" t="e">
        <f>SUM(C21:C30)</f>
        <v>#REF!</v>
      </c>
      <c r="D31" s="34" t="e">
        <f t="shared" ref="D31:N31" si="3">SUM(D21:D30)</f>
        <v>#REF!</v>
      </c>
      <c r="E31" s="34" t="e">
        <f t="shared" si="3"/>
        <v>#REF!</v>
      </c>
      <c r="F31" s="34" t="e">
        <f t="shared" si="3"/>
        <v>#REF!</v>
      </c>
      <c r="G31" s="34" t="e">
        <f t="shared" si="3"/>
        <v>#REF!</v>
      </c>
      <c r="H31" s="34" t="e">
        <f t="shared" si="3"/>
        <v>#REF!</v>
      </c>
      <c r="I31" s="34" t="e">
        <f t="shared" si="3"/>
        <v>#REF!</v>
      </c>
      <c r="J31" s="34" t="e">
        <f t="shared" si="3"/>
        <v>#REF!</v>
      </c>
      <c r="K31" s="34" t="e">
        <f t="shared" si="3"/>
        <v>#REF!</v>
      </c>
      <c r="L31" s="34" t="e">
        <f t="shared" si="3"/>
        <v>#REF!</v>
      </c>
      <c r="M31" s="34" t="e">
        <f t="shared" si="3"/>
        <v>#REF!</v>
      </c>
      <c r="N31" s="34" t="e">
        <f t="shared" si="3"/>
        <v>#REF!</v>
      </c>
      <c r="O31" s="34" t="e">
        <f t="shared" si="2"/>
        <v>#REF!</v>
      </c>
    </row>
    <row r="32" spans="2:15" x14ac:dyDescent="0.15">
      <c r="B32" s="44" t="s">
        <v>124</v>
      </c>
      <c r="C32" s="34" t="e">
        <f t="shared" ref="C32:N32" si="4">C19-C31</f>
        <v>#REF!</v>
      </c>
      <c r="D32" s="34" t="e">
        <f t="shared" si="4"/>
        <v>#REF!</v>
      </c>
      <c r="E32" s="34" t="e">
        <f t="shared" si="4"/>
        <v>#REF!</v>
      </c>
      <c r="F32" s="34" t="e">
        <f t="shared" si="4"/>
        <v>#REF!</v>
      </c>
      <c r="G32" s="34" t="e">
        <f t="shared" si="4"/>
        <v>#REF!</v>
      </c>
      <c r="H32" s="34" t="e">
        <f t="shared" si="4"/>
        <v>#REF!</v>
      </c>
      <c r="I32" s="34" t="e">
        <f t="shared" si="4"/>
        <v>#REF!</v>
      </c>
      <c r="J32" s="34" t="e">
        <f t="shared" si="4"/>
        <v>#REF!</v>
      </c>
      <c r="K32" s="34" t="e">
        <f t="shared" si="4"/>
        <v>#REF!</v>
      </c>
      <c r="L32" s="34" t="e">
        <f t="shared" si="4"/>
        <v>#REF!</v>
      </c>
      <c r="M32" s="34" t="e">
        <f t="shared" si="4"/>
        <v>#REF!</v>
      </c>
      <c r="N32" s="34" t="e">
        <f t="shared" si="4"/>
        <v>#REF!</v>
      </c>
      <c r="O32" s="34" t="e">
        <f t="shared" si="2"/>
        <v>#REF!</v>
      </c>
    </row>
    <row r="33" spans="2:15" x14ac:dyDescent="0.15">
      <c r="B33" s="44" t="s">
        <v>202</v>
      </c>
      <c r="C33" s="34">
        <f>'2a-PayrollYear1'!F25</f>
        <v>0</v>
      </c>
      <c r="D33" s="34">
        <f>'2a-PayrollYear1'!G25</f>
        <v>0</v>
      </c>
      <c r="E33" s="34">
        <f>'2a-PayrollYear1'!H25</f>
        <v>0</v>
      </c>
      <c r="F33" s="34">
        <f>'2a-PayrollYear1'!I25</f>
        <v>0</v>
      </c>
      <c r="G33" s="34">
        <f>'2a-PayrollYear1'!J25</f>
        <v>0</v>
      </c>
      <c r="H33" s="34">
        <f>'2a-PayrollYear1'!K25</f>
        <v>0</v>
      </c>
      <c r="I33" s="34">
        <f>'2a-PayrollYear1'!L25</f>
        <v>0</v>
      </c>
      <c r="J33" s="34">
        <f>'2a-PayrollYear1'!M25</f>
        <v>0</v>
      </c>
      <c r="K33" s="34">
        <f>'2a-PayrollYear1'!N25</f>
        <v>0</v>
      </c>
      <c r="L33" s="34">
        <f>'2a-PayrollYear1'!O25</f>
        <v>0</v>
      </c>
      <c r="M33" s="34">
        <f>'2a-PayrollYear1'!P25</f>
        <v>0</v>
      </c>
      <c r="N33" s="34">
        <f>'2a-PayrollYear1'!Q25</f>
        <v>0</v>
      </c>
      <c r="O33" s="34">
        <f t="shared" si="2"/>
        <v>0</v>
      </c>
    </row>
    <row r="34" spans="2:15" x14ac:dyDescent="0.15">
      <c r="B34" s="44" t="s">
        <v>125</v>
      </c>
      <c r="C34" s="7"/>
      <c r="D34" s="7"/>
      <c r="E34" s="7"/>
      <c r="F34" s="7"/>
      <c r="G34" s="7"/>
      <c r="H34" s="7"/>
      <c r="I34" s="7"/>
      <c r="J34" s="7"/>
      <c r="K34" s="7"/>
      <c r="L34" s="7"/>
      <c r="M34" s="7"/>
      <c r="N34" s="7"/>
      <c r="O34" s="34"/>
    </row>
    <row r="35" spans="2:15" x14ac:dyDescent="0.15">
      <c r="B35" s="188" t="s">
        <v>14</v>
      </c>
      <c r="C35" s="28">
        <f>'5a-OpExYear1'!C10</f>
        <v>0</v>
      </c>
      <c r="D35" s="28">
        <f>'5a-OpExYear1'!D10</f>
        <v>0</v>
      </c>
      <c r="E35" s="28">
        <f>'5a-OpExYear1'!E10</f>
        <v>0</v>
      </c>
      <c r="F35" s="28">
        <f>'5a-OpExYear1'!F10</f>
        <v>0</v>
      </c>
      <c r="G35" s="28">
        <f>'5a-OpExYear1'!G10</f>
        <v>0</v>
      </c>
      <c r="H35" s="28">
        <f>'5a-OpExYear1'!H10</f>
        <v>0</v>
      </c>
      <c r="I35" s="28">
        <f>'5a-OpExYear1'!I10</f>
        <v>0</v>
      </c>
      <c r="J35" s="28">
        <f>'5a-OpExYear1'!J10</f>
        <v>0</v>
      </c>
      <c r="K35" s="28">
        <f>'5a-OpExYear1'!K10</f>
        <v>0</v>
      </c>
      <c r="L35" s="28">
        <f>'5a-OpExYear1'!L10</f>
        <v>0</v>
      </c>
      <c r="M35" s="28">
        <f>'5a-OpExYear1'!M10</f>
        <v>0</v>
      </c>
      <c r="N35" s="28">
        <f>'5a-OpExYear1'!N10</f>
        <v>0</v>
      </c>
      <c r="O35" s="34">
        <f>SUM(C35:N35)</f>
        <v>0</v>
      </c>
    </row>
    <row r="36" spans="2:15" x14ac:dyDescent="0.15">
      <c r="B36" s="188" t="s">
        <v>136</v>
      </c>
      <c r="C36" s="28">
        <f>'5a-OpExYear1'!C11</f>
        <v>0</v>
      </c>
      <c r="D36" s="28">
        <f>'5a-OpExYear1'!D11</f>
        <v>0</v>
      </c>
      <c r="E36" s="28">
        <f>'5a-OpExYear1'!E11</f>
        <v>0</v>
      </c>
      <c r="F36" s="28">
        <f>'5a-OpExYear1'!F11</f>
        <v>0</v>
      </c>
      <c r="G36" s="28">
        <f>'5a-OpExYear1'!G11</f>
        <v>0</v>
      </c>
      <c r="H36" s="28">
        <f>'5a-OpExYear1'!H11</f>
        <v>0</v>
      </c>
      <c r="I36" s="28">
        <f>'5a-OpExYear1'!I11</f>
        <v>0</v>
      </c>
      <c r="J36" s="28">
        <f>'5a-OpExYear1'!J11</f>
        <v>0</v>
      </c>
      <c r="K36" s="28">
        <f>'5a-OpExYear1'!K11</f>
        <v>0</v>
      </c>
      <c r="L36" s="28">
        <f>'5a-OpExYear1'!L11</f>
        <v>0</v>
      </c>
      <c r="M36" s="28">
        <f>'5a-OpExYear1'!M11</f>
        <v>0</v>
      </c>
      <c r="N36" s="28">
        <f>'5a-OpExYear1'!N11</f>
        <v>0</v>
      </c>
      <c r="O36" s="34">
        <f t="shared" ref="O36:O53" si="5">SUM(C36:N36)</f>
        <v>0</v>
      </c>
    </row>
    <row r="37" spans="2:15" x14ac:dyDescent="0.15">
      <c r="B37" s="188" t="s">
        <v>137</v>
      </c>
      <c r="C37" s="28">
        <f>'5a-OpExYear1'!C12</f>
        <v>0</v>
      </c>
      <c r="D37" s="28">
        <f>'5a-OpExYear1'!D12</f>
        <v>0</v>
      </c>
      <c r="E37" s="28">
        <f>'5a-OpExYear1'!E12</f>
        <v>0</v>
      </c>
      <c r="F37" s="28">
        <f>'5a-OpExYear1'!F12</f>
        <v>0</v>
      </c>
      <c r="G37" s="28">
        <f>'5a-OpExYear1'!G12</f>
        <v>0</v>
      </c>
      <c r="H37" s="28">
        <f>'5a-OpExYear1'!H12</f>
        <v>0</v>
      </c>
      <c r="I37" s="28">
        <f>'5a-OpExYear1'!I12</f>
        <v>0</v>
      </c>
      <c r="J37" s="28">
        <f>'5a-OpExYear1'!J12</f>
        <v>0</v>
      </c>
      <c r="K37" s="28">
        <f>'5a-OpExYear1'!K12</f>
        <v>0</v>
      </c>
      <c r="L37" s="28">
        <f>'5a-OpExYear1'!L12</f>
        <v>0</v>
      </c>
      <c r="M37" s="28">
        <f>'5a-OpExYear1'!M12</f>
        <v>0</v>
      </c>
      <c r="N37" s="28">
        <f>'5a-OpExYear1'!N12</f>
        <v>0</v>
      </c>
      <c r="O37" s="34">
        <f t="shared" si="5"/>
        <v>0</v>
      </c>
    </row>
    <row r="38" spans="2:15" x14ac:dyDescent="0.15">
      <c r="B38" s="188" t="s">
        <v>138</v>
      </c>
      <c r="C38" s="28">
        <f>'5a-OpExYear1'!C13</f>
        <v>0</v>
      </c>
      <c r="D38" s="28">
        <f>'5a-OpExYear1'!D13</f>
        <v>0</v>
      </c>
      <c r="E38" s="28">
        <f>'5a-OpExYear1'!E13</f>
        <v>0</v>
      </c>
      <c r="F38" s="28">
        <f>'5a-OpExYear1'!F13</f>
        <v>0</v>
      </c>
      <c r="G38" s="28">
        <f>'5a-OpExYear1'!G13</f>
        <v>0</v>
      </c>
      <c r="H38" s="28">
        <f>'5a-OpExYear1'!H13</f>
        <v>0</v>
      </c>
      <c r="I38" s="28">
        <f>'5a-OpExYear1'!I13</f>
        <v>0</v>
      </c>
      <c r="J38" s="28">
        <f>'5a-OpExYear1'!J13</f>
        <v>0</v>
      </c>
      <c r="K38" s="28">
        <f>'5a-OpExYear1'!K13</f>
        <v>0</v>
      </c>
      <c r="L38" s="28">
        <f>'5a-OpExYear1'!L13</f>
        <v>0</v>
      </c>
      <c r="M38" s="28">
        <f>'5a-OpExYear1'!M13</f>
        <v>0</v>
      </c>
      <c r="N38" s="28">
        <f>'5a-OpExYear1'!N13</f>
        <v>0</v>
      </c>
      <c r="O38" s="34">
        <f t="shared" si="5"/>
        <v>0</v>
      </c>
    </row>
    <row r="39" spans="2:15" x14ac:dyDescent="0.15">
      <c r="B39" s="188" t="s">
        <v>151</v>
      </c>
      <c r="C39" s="28">
        <f>'5a-OpExYear1'!C14</f>
        <v>0</v>
      </c>
      <c r="D39" s="28">
        <f>'5a-OpExYear1'!D14</f>
        <v>0</v>
      </c>
      <c r="E39" s="28">
        <f>'5a-OpExYear1'!E14</f>
        <v>0</v>
      </c>
      <c r="F39" s="28">
        <f>'5a-OpExYear1'!F14</f>
        <v>0</v>
      </c>
      <c r="G39" s="28">
        <f>'5a-OpExYear1'!G14</f>
        <v>0</v>
      </c>
      <c r="H39" s="28">
        <f>'5a-OpExYear1'!H14</f>
        <v>0</v>
      </c>
      <c r="I39" s="28">
        <f>'5a-OpExYear1'!I14</f>
        <v>0</v>
      </c>
      <c r="J39" s="28">
        <f>'5a-OpExYear1'!J14</f>
        <v>0</v>
      </c>
      <c r="K39" s="28">
        <f>'5a-OpExYear1'!K14</f>
        <v>0</v>
      </c>
      <c r="L39" s="28">
        <f>'5a-OpExYear1'!L14</f>
        <v>0</v>
      </c>
      <c r="M39" s="28">
        <f>'5a-OpExYear1'!M14</f>
        <v>0</v>
      </c>
      <c r="N39" s="28">
        <f>'5a-OpExYear1'!N14</f>
        <v>0</v>
      </c>
      <c r="O39" s="34">
        <f t="shared" si="5"/>
        <v>0</v>
      </c>
    </row>
    <row r="40" spans="2:15" x14ac:dyDescent="0.15">
      <c r="B40" s="188" t="s">
        <v>141</v>
      </c>
      <c r="C40" s="28">
        <f>'5a-OpExYear1'!C15</f>
        <v>0</v>
      </c>
      <c r="D40" s="28">
        <f>'5a-OpExYear1'!D15</f>
        <v>0</v>
      </c>
      <c r="E40" s="28">
        <f>'5a-OpExYear1'!E15</f>
        <v>0</v>
      </c>
      <c r="F40" s="28">
        <f>'5a-OpExYear1'!F15</f>
        <v>0</v>
      </c>
      <c r="G40" s="28">
        <f>'5a-OpExYear1'!G15</f>
        <v>0</v>
      </c>
      <c r="H40" s="28">
        <f>'5a-OpExYear1'!H15</f>
        <v>0</v>
      </c>
      <c r="I40" s="28">
        <f>'5a-OpExYear1'!I15</f>
        <v>0</v>
      </c>
      <c r="J40" s="28">
        <f>'5a-OpExYear1'!J15</f>
        <v>0</v>
      </c>
      <c r="K40" s="28">
        <f>'5a-OpExYear1'!K15</f>
        <v>0</v>
      </c>
      <c r="L40" s="28">
        <f>'5a-OpExYear1'!L15</f>
        <v>0</v>
      </c>
      <c r="M40" s="28">
        <f>'5a-OpExYear1'!M15</f>
        <v>0</v>
      </c>
      <c r="N40" s="28">
        <f>'5a-OpExYear1'!N15</f>
        <v>0</v>
      </c>
      <c r="O40" s="34">
        <f t="shared" si="5"/>
        <v>0</v>
      </c>
    </row>
    <row r="41" spans="2:15" x14ac:dyDescent="0.15">
      <c r="B41" s="188" t="s">
        <v>6</v>
      </c>
      <c r="C41" s="28">
        <f>'5a-OpExYear1'!C16</f>
        <v>0</v>
      </c>
      <c r="D41" s="28">
        <f>'5a-OpExYear1'!D16</f>
        <v>0</v>
      </c>
      <c r="E41" s="28">
        <f>'5a-OpExYear1'!E16</f>
        <v>0</v>
      </c>
      <c r="F41" s="28">
        <f>'5a-OpExYear1'!F16</f>
        <v>0</v>
      </c>
      <c r="G41" s="28">
        <f>'5a-OpExYear1'!G16</f>
        <v>0</v>
      </c>
      <c r="H41" s="28">
        <f>'5a-OpExYear1'!H16</f>
        <v>0</v>
      </c>
      <c r="I41" s="28">
        <f>'5a-OpExYear1'!I16</f>
        <v>0</v>
      </c>
      <c r="J41" s="28">
        <f>'5a-OpExYear1'!J16</f>
        <v>0</v>
      </c>
      <c r="K41" s="28">
        <f>'5a-OpExYear1'!K16</f>
        <v>0</v>
      </c>
      <c r="L41" s="28">
        <f>'5a-OpExYear1'!L16</f>
        <v>0</v>
      </c>
      <c r="M41" s="28">
        <f>'5a-OpExYear1'!M16</f>
        <v>0</v>
      </c>
      <c r="N41" s="28">
        <f>'5a-OpExYear1'!N16</f>
        <v>0</v>
      </c>
      <c r="O41" s="34">
        <f t="shared" si="5"/>
        <v>0</v>
      </c>
    </row>
    <row r="42" spans="2:15" x14ac:dyDescent="0.15">
      <c r="B42" s="188" t="s">
        <v>142</v>
      </c>
      <c r="C42" s="28">
        <f>'5a-OpExYear1'!C17</f>
        <v>0</v>
      </c>
      <c r="D42" s="28">
        <f>'5a-OpExYear1'!D17</f>
        <v>0</v>
      </c>
      <c r="E42" s="28">
        <f>'5a-OpExYear1'!E17</f>
        <v>0</v>
      </c>
      <c r="F42" s="28">
        <f>'5a-OpExYear1'!F17</f>
        <v>0</v>
      </c>
      <c r="G42" s="28">
        <f>'5a-OpExYear1'!G17</f>
        <v>0</v>
      </c>
      <c r="H42" s="28">
        <f>'5a-OpExYear1'!H17</f>
        <v>0</v>
      </c>
      <c r="I42" s="28">
        <f>'5a-OpExYear1'!I17</f>
        <v>0</v>
      </c>
      <c r="J42" s="28">
        <f>'5a-OpExYear1'!J17</f>
        <v>0</v>
      </c>
      <c r="K42" s="28">
        <f>'5a-OpExYear1'!K17</f>
        <v>0</v>
      </c>
      <c r="L42" s="28">
        <f>'5a-OpExYear1'!L17</f>
        <v>0</v>
      </c>
      <c r="M42" s="28">
        <f>'5a-OpExYear1'!M17</f>
        <v>0</v>
      </c>
      <c r="N42" s="28">
        <f>'5a-OpExYear1'!N17</f>
        <v>0</v>
      </c>
      <c r="O42" s="34">
        <f t="shared" si="5"/>
        <v>0</v>
      </c>
    </row>
    <row r="43" spans="2:15" x14ac:dyDescent="0.15">
      <c r="B43" s="188" t="s">
        <v>143</v>
      </c>
      <c r="C43" s="28">
        <f>'5a-OpExYear1'!C18</f>
        <v>0</v>
      </c>
      <c r="D43" s="28">
        <f>'5a-OpExYear1'!D18</f>
        <v>0</v>
      </c>
      <c r="E43" s="28">
        <f>'5a-OpExYear1'!E18</f>
        <v>0</v>
      </c>
      <c r="F43" s="28">
        <f>'5a-OpExYear1'!F18</f>
        <v>0</v>
      </c>
      <c r="G43" s="28">
        <f>'5a-OpExYear1'!G18</f>
        <v>0</v>
      </c>
      <c r="H43" s="28">
        <f>'5a-OpExYear1'!H18</f>
        <v>0</v>
      </c>
      <c r="I43" s="28">
        <f>'5a-OpExYear1'!I18</f>
        <v>0</v>
      </c>
      <c r="J43" s="28">
        <f>'5a-OpExYear1'!J18</f>
        <v>0</v>
      </c>
      <c r="K43" s="28">
        <f>'5a-OpExYear1'!K18</f>
        <v>0</v>
      </c>
      <c r="L43" s="28">
        <f>'5a-OpExYear1'!L18</f>
        <v>0</v>
      </c>
      <c r="M43" s="28">
        <f>'5a-OpExYear1'!M18</f>
        <v>0</v>
      </c>
      <c r="N43" s="28">
        <f>'5a-OpExYear1'!N18</f>
        <v>0</v>
      </c>
      <c r="O43" s="34">
        <f t="shared" si="5"/>
        <v>0</v>
      </c>
    </row>
    <row r="44" spans="2:15" x14ac:dyDescent="0.15">
      <c r="B44" s="188" t="s">
        <v>144</v>
      </c>
      <c r="C44" s="28">
        <f>'5a-OpExYear1'!C19</f>
        <v>0</v>
      </c>
      <c r="D44" s="28">
        <f>'5a-OpExYear1'!D19</f>
        <v>0</v>
      </c>
      <c r="E44" s="28">
        <f>'5a-OpExYear1'!E19</f>
        <v>0</v>
      </c>
      <c r="F44" s="28">
        <f>'5a-OpExYear1'!F19</f>
        <v>0</v>
      </c>
      <c r="G44" s="28">
        <f>'5a-OpExYear1'!G19</f>
        <v>0</v>
      </c>
      <c r="H44" s="28">
        <f>'5a-OpExYear1'!H19</f>
        <v>0</v>
      </c>
      <c r="I44" s="28">
        <f>'5a-OpExYear1'!I19</f>
        <v>0</v>
      </c>
      <c r="J44" s="28">
        <f>'5a-OpExYear1'!J19</f>
        <v>0</v>
      </c>
      <c r="K44" s="28">
        <f>'5a-OpExYear1'!K19</f>
        <v>0</v>
      </c>
      <c r="L44" s="28">
        <f>'5a-OpExYear1'!L19</f>
        <v>0</v>
      </c>
      <c r="M44" s="28">
        <f>'5a-OpExYear1'!M19</f>
        <v>0</v>
      </c>
      <c r="N44" s="28">
        <f>'5a-OpExYear1'!N19</f>
        <v>0</v>
      </c>
      <c r="O44" s="34">
        <f t="shared" si="5"/>
        <v>0</v>
      </c>
    </row>
    <row r="45" spans="2:15" x14ac:dyDescent="0.15">
      <c r="B45" s="188" t="s">
        <v>145</v>
      </c>
      <c r="C45" s="28">
        <f>'5a-OpExYear1'!C20</f>
        <v>0</v>
      </c>
      <c r="D45" s="28">
        <f>'5a-OpExYear1'!D20</f>
        <v>0</v>
      </c>
      <c r="E45" s="28">
        <f>'5a-OpExYear1'!E20</f>
        <v>0</v>
      </c>
      <c r="F45" s="28">
        <f>'5a-OpExYear1'!F20</f>
        <v>0</v>
      </c>
      <c r="G45" s="28">
        <f>'5a-OpExYear1'!G20</f>
        <v>0</v>
      </c>
      <c r="H45" s="28">
        <f>'5a-OpExYear1'!H20</f>
        <v>0</v>
      </c>
      <c r="I45" s="28">
        <f>'5a-OpExYear1'!I20</f>
        <v>0</v>
      </c>
      <c r="J45" s="28">
        <f>'5a-OpExYear1'!J20</f>
        <v>0</v>
      </c>
      <c r="K45" s="28">
        <f>'5a-OpExYear1'!K20</f>
        <v>0</v>
      </c>
      <c r="L45" s="28">
        <f>'5a-OpExYear1'!L20</f>
        <v>0</v>
      </c>
      <c r="M45" s="28">
        <f>'5a-OpExYear1'!M20</f>
        <v>0</v>
      </c>
      <c r="N45" s="28">
        <f>'5a-OpExYear1'!N20</f>
        <v>0</v>
      </c>
      <c r="O45" s="34">
        <f t="shared" si="5"/>
        <v>0</v>
      </c>
    </row>
    <row r="46" spans="2:15" x14ac:dyDescent="0.15">
      <c r="B46" s="188" t="s">
        <v>5</v>
      </c>
      <c r="C46" s="28">
        <f>'5a-OpExYear1'!C21</f>
        <v>0</v>
      </c>
      <c r="D46" s="28">
        <f>'5a-OpExYear1'!D21</f>
        <v>0</v>
      </c>
      <c r="E46" s="28">
        <f>'5a-OpExYear1'!E21</f>
        <v>0</v>
      </c>
      <c r="F46" s="28">
        <f>'5a-OpExYear1'!F21</f>
        <v>0</v>
      </c>
      <c r="G46" s="28">
        <f>'5a-OpExYear1'!G21</f>
        <v>0</v>
      </c>
      <c r="H46" s="28">
        <f>'5a-OpExYear1'!H21</f>
        <v>0</v>
      </c>
      <c r="I46" s="28">
        <f>'5a-OpExYear1'!I21</f>
        <v>0</v>
      </c>
      <c r="J46" s="28">
        <f>'5a-OpExYear1'!J21</f>
        <v>0</v>
      </c>
      <c r="K46" s="28">
        <f>'5a-OpExYear1'!K21</f>
        <v>0</v>
      </c>
      <c r="L46" s="28">
        <f>'5a-OpExYear1'!L21</f>
        <v>0</v>
      </c>
      <c r="M46" s="28">
        <f>'5a-OpExYear1'!M21</f>
        <v>0</v>
      </c>
      <c r="N46" s="28">
        <f>'5a-OpExYear1'!N21</f>
        <v>0</v>
      </c>
      <c r="O46" s="34">
        <f t="shared" si="5"/>
        <v>0</v>
      </c>
    </row>
    <row r="47" spans="2:15" x14ac:dyDescent="0.15">
      <c r="B47" s="188" t="s">
        <v>146</v>
      </c>
      <c r="C47" s="28">
        <f>'5a-OpExYear1'!C22</f>
        <v>0</v>
      </c>
      <c r="D47" s="28">
        <f>'5a-OpExYear1'!D22</f>
        <v>0</v>
      </c>
      <c r="E47" s="28">
        <f>'5a-OpExYear1'!E22</f>
        <v>0</v>
      </c>
      <c r="F47" s="28">
        <f>'5a-OpExYear1'!F22</f>
        <v>0</v>
      </c>
      <c r="G47" s="28">
        <f>'5a-OpExYear1'!G22</f>
        <v>0</v>
      </c>
      <c r="H47" s="28">
        <f>'5a-OpExYear1'!H22</f>
        <v>0</v>
      </c>
      <c r="I47" s="28">
        <f>'5a-OpExYear1'!I22</f>
        <v>0</v>
      </c>
      <c r="J47" s="28">
        <f>'5a-OpExYear1'!J22</f>
        <v>0</v>
      </c>
      <c r="K47" s="28">
        <f>'5a-OpExYear1'!K22</f>
        <v>0</v>
      </c>
      <c r="L47" s="28">
        <f>'5a-OpExYear1'!L22</f>
        <v>0</v>
      </c>
      <c r="M47" s="28">
        <f>'5a-OpExYear1'!M22</f>
        <v>0</v>
      </c>
      <c r="N47" s="28">
        <f>'5a-OpExYear1'!N22</f>
        <v>0</v>
      </c>
      <c r="O47" s="34">
        <f t="shared" si="5"/>
        <v>0</v>
      </c>
    </row>
    <row r="48" spans="2:15" x14ac:dyDescent="0.15">
      <c r="B48" s="188" t="s">
        <v>15</v>
      </c>
      <c r="C48" s="28">
        <f>'5a-OpExYear1'!C23</f>
        <v>0</v>
      </c>
      <c r="D48" s="28">
        <f>'5a-OpExYear1'!D23</f>
        <v>0</v>
      </c>
      <c r="E48" s="28">
        <f>'5a-OpExYear1'!E23</f>
        <v>0</v>
      </c>
      <c r="F48" s="28">
        <f>'5a-OpExYear1'!F23</f>
        <v>0</v>
      </c>
      <c r="G48" s="28">
        <f>'5a-OpExYear1'!G23</f>
        <v>0</v>
      </c>
      <c r="H48" s="28">
        <f>'5a-OpExYear1'!H23</f>
        <v>0</v>
      </c>
      <c r="I48" s="28">
        <f>'5a-OpExYear1'!I23</f>
        <v>0</v>
      </c>
      <c r="J48" s="28">
        <f>'5a-OpExYear1'!J23</f>
        <v>0</v>
      </c>
      <c r="K48" s="28">
        <f>'5a-OpExYear1'!K23</f>
        <v>0</v>
      </c>
      <c r="L48" s="28">
        <f>'5a-OpExYear1'!L23</f>
        <v>0</v>
      </c>
      <c r="M48" s="28">
        <f>'5a-OpExYear1'!M23</f>
        <v>0</v>
      </c>
      <c r="N48" s="28">
        <f>'5a-OpExYear1'!N23</f>
        <v>0</v>
      </c>
      <c r="O48" s="34">
        <f t="shared" si="5"/>
        <v>0</v>
      </c>
    </row>
    <row r="49" spans="2:15" x14ac:dyDescent="0.15">
      <c r="B49" s="188" t="s">
        <v>206</v>
      </c>
      <c r="C49" s="28">
        <f>'5a-OpExYear1'!C24</f>
        <v>0</v>
      </c>
      <c r="D49" s="28">
        <f>'5a-OpExYear1'!D24</f>
        <v>0</v>
      </c>
      <c r="E49" s="28">
        <f>'5a-OpExYear1'!E24</f>
        <v>0</v>
      </c>
      <c r="F49" s="28">
        <f>'5a-OpExYear1'!F24</f>
        <v>0</v>
      </c>
      <c r="G49" s="28">
        <f>'5a-OpExYear1'!G24</f>
        <v>0</v>
      </c>
      <c r="H49" s="28">
        <f>'5a-OpExYear1'!H24</f>
        <v>0</v>
      </c>
      <c r="I49" s="28">
        <f>'5a-OpExYear1'!I24</f>
        <v>0</v>
      </c>
      <c r="J49" s="28">
        <f>'5a-OpExYear1'!J24</f>
        <v>0</v>
      </c>
      <c r="K49" s="28">
        <f>'5a-OpExYear1'!K24</f>
        <v>0</v>
      </c>
      <c r="L49" s="28">
        <f>'5a-OpExYear1'!L24</f>
        <v>0</v>
      </c>
      <c r="M49" s="28">
        <f>'5a-OpExYear1'!M24</f>
        <v>0</v>
      </c>
      <c r="N49" s="28">
        <f>'5a-OpExYear1'!N24</f>
        <v>0</v>
      </c>
      <c r="O49" s="34">
        <f t="shared" si="5"/>
        <v>0</v>
      </c>
    </row>
    <row r="50" spans="2:15" x14ac:dyDescent="0.15">
      <c r="B50" s="188" t="s">
        <v>258</v>
      </c>
      <c r="C50" s="28"/>
      <c r="D50" s="28"/>
      <c r="E50" s="28"/>
      <c r="F50" s="28"/>
      <c r="G50" s="28"/>
      <c r="H50" s="28"/>
      <c r="I50" s="28"/>
      <c r="J50" s="28"/>
      <c r="K50" s="28"/>
      <c r="L50" s="28"/>
      <c r="M50" s="28"/>
      <c r="N50" s="28"/>
      <c r="O50" s="34"/>
    </row>
    <row r="51" spans="2:15" x14ac:dyDescent="0.15">
      <c r="B51" s="188" t="s">
        <v>259</v>
      </c>
      <c r="C51" s="28"/>
      <c r="D51" s="28"/>
      <c r="E51" s="28"/>
      <c r="F51" s="28"/>
      <c r="G51" s="28"/>
      <c r="H51" s="28"/>
      <c r="I51" s="28"/>
      <c r="J51" s="28"/>
      <c r="K51" s="28"/>
      <c r="L51" s="28"/>
      <c r="M51" s="28"/>
      <c r="N51" s="28"/>
      <c r="O51" s="34"/>
    </row>
    <row r="52" spans="2:15" x14ac:dyDescent="0.15">
      <c r="B52" s="189" t="s">
        <v>212</v>
      </c>
      <c r="C52" s="34">
        <f>SUM(C35:C51)</f>
        <v>0</v>
      </c>
      <c r="D52" s="34">
        <f t="shared" ref="D52:N52" si="6">SUM(D35:D51)</f>
        <v>0</v>
      </c>
      <c r="E52" s="34">
        <f t="shared" si="6"/>
        <v>0</v>
      </c>
      <c r="F52" s="34">
        <f t="shared" si="6"/>
        <v>0</v>
      </c>
      <c r="G52" s="34">
        <f t="shared" si="6"/>
        <v>0</v>
      </c>
      <c r="H52" s="34">
        <f t="shared" si="6"/>
        <v>0</v>
      </c>
      <c r="I52" s="34">
        <f t="shared" si="6"/>
        <v>0</v>
      </c>
      <c r="J52" s="34">
        <f t="shared" si="6"/>
        <v>0</v>
      </c>
      <c r="K52" s="34">
        <f t="shared" si="6"/>
        <v>0</v>
      </c>
      <c r="L52" s="34">
        <f t="shared" si="6"/>
        <v>0</v>
      </c>
      <c r="M52" s="34">
        <f t="shared" si="6"/>
        <v>0</v>
      </c>
      <c r="N52" s="34">
        <f t="shared" si="6"/>
        <v>0</v>
      </c>
      <c r="O52" s="34">
        <f t="shared" si="5"/>
        <v>0</v>
      </c>
    </row>
    <row r="53" spans="2:15" x14ac:dyDescent="0.15">
      <c r="B53" s="189" t="s">
        <v>328</v>
      </c>
      <c r="C53" s="34" t="e">
        <f>C32-C33-C52</f>
        <v>#REF!</v>
      </c>
      <c r="D53" s="34" t="e">
        <f t="shared" ref="D53:N53" si="7">+D32-D33-D52</f>
        <v>#REF!</v>
      </c>
      <c r="E53" s="34" t="e">
        <f t="shared" si="7"/>
        <v>#REF!</v>
      </c>
      <c r="F53" s="34" t="e">
        <f t="shared" si="7"/>
        <v>#REF!</v>
      </c>
      <c r="G53" s="34" t="e">
        <f t="shared" si="7"/>
        <v>#REF!</v>
      </c>
      <c r="H53" s="34" t="e">
        <f t="shared" si="7"/>
        <v>#REF!</v>
      </c>
      <c r="I53" s="34" t="e">
        <f t="shared" si="7"/>
        <v>#REF!</v>
      </c>
      <c r="J53" s="34" t="e">
        <f t="shared" si="7"/>
        <v>#REF!</v>
      </c>
      <c r="K53" s="34" t="e">
        <f t="shared" si="7"/>
        <v>#REF!</v>
      </c>
      <c r="L53" s="34" t="e">
        <f t="shared" si="7"/>
        <v>#REF!</v>
      </c>
      <c r="M53" s="34" t="e">
        <f t="shared" si="7"/>
        <v>#REF!</v>
      </c>
      <c r="N53" s="34" t="e">
        <f t="shared" si="7"/>
        <v>#REF!</v>
      </c>
      <c r="O53" s="34" t="e">
        <f t="shared" si="5"/>
        <v>#REF!</v>
      </c>
    </row>
    <row r="54" spans="2:15" x14ac:dyDescent="0.15">
      <c r="B54" s="44" t="s">
        <v>131</v>
      </c>
      <c r="C54" s="7"/>
      <c r="D54" s="7"/>
      <c r="E54" s="7"/>
      <c r="F54" s="7"/>
      <c r="G54" s="7"/>
      <c r="H54" s="7"/>
      <c r="I54" s="7"/>
      <c r="J54" s="7"/>
      <c r="K54" s="7"/>
      <c r="L54" s="7"/>
      <c r="M54" s="7"/>
      <c r="N54" s="7"/>
      <c r="O54" s="34"/>
    </row>
    <row r="55" spans="2:15" x14ac:dyDescent="0.15">
      <c r="B55" s="190" t="s">
        <v>276</v>
      </c>
      <c r="C55" s="28">
        <f>+'Amortization&amp;Depreciation'!C138+'Amortization&amp;Depreciation'!C149</f>
        <v>0</v>
      </c>
      <c r="D55" s="28">
        <f>+'Amortization&amp;Depreciation'!D138+'Amortization&amp;Depreciation'!D149</f>
        <v>0</v>
      </c>
      <c r="E55" s="28">
        <f>+'Amortization&amp;Depreciation'!E138+'Amortization&amp;Depreciation'!E149</f>
        <v>0</v>
      </c>
      <c r="F55" s="28">
        <f>+'Amortization&amp;Depreciation'!F138+'Amortization&amp;Depreciation'!F149</f>
        <v>0</v>
      </c>
      <c r="G55" s="28">
        <f>+'Amortization&amp;Depreciation'!G138+'Amortization&amp;Depreciation'!G149</f>
        <v>0</v>
      </c>
      <c r="H55" s="28">
        <f>+'Amortization&amp;Depreciation'!H138+'Amortization&amp;Depreciation'!H149</f>
        <v>0</v>
      </c>
      <c r="I55" s="28">
        <f>+'Amortization&amp;Depreciation'!I138+'Amortization&amp;Depreciation'!I149</f>
        <v>0</v>
      </c>
      <c r="J55" s="28">
        <f>+'Amortization&amp;Depreciation'!J138+'Amortization&amp;Depreciation'!J149</f>
        <v>0</v>
      </c>
      <c r="K55" s="28">
        <f>+'Amortization&amp;Depreciation'!K138+'Amortization&amp;Depreciation'!K149</f>
        <v>0</v>
      </c>
      <c r="L55" s="28">
        <f>+'Amortization&amp;Depreciation'!L138+'Amortization&amp;Depreciation'!L149</f>
        <v>0</v>
      </c>
      <c r="M55" s="28">
        <f>+'Amortization&amp;Depreciation'!M138+'Amortization&amp;Depreciation'!M149</f>
        <v>0</v>
      </c>
      <c r="N55" s="28">
        <f>+'Amortization&amp;Depreciation'!N138+'Amortization&amp;Depreciation'!N149</f>
        <v>0</v>
      </c>
      <c r="O55" s="34">
        <f>SUM(C55:N55)</f>
        <v>0</v>
      </c>
    </row>
    <row r="56" spans="2:15" x14ac:dyDescent="0.15">
      <c r="B56" s="190" t="s">
        <v>31</v>
      </c>
      <c r="C56" s="28">
        <f>'Amortization&amp;Depreciation'!C119</f>
        <v>0</v>
      </c>
      <c r="D56" s="28">
        <f>+'Amortization&amp;Depreciation'!D119</f>
        <v>0</v>
      </c>
      <c r="E56" s="28">
        <f>+'Amortization&amp;Depreciation'!E119</f>
        <v>0</v>
      </c>
      <c r="F56" s="28">
        <f>+'Amortization&amp;Depreciation'!F119</f>
        <v>0</v>
      </c>
      <c r="G56" s="28">
        <f>+'Amortization&amp;Depreciation'!G119</f>
        <v>0</v>
      </c>
      <c r="H56" s="28">
        <f>+'Amortization&amp;Depreciation'!H119</f>
        <v>0</v>
      </c>
      <c r="I56" s="28">
        <f>+'Amortization&amp;Depreciation'!I119</f>
        <v>0</v>
      </c>
      <c r="J56" s="28">
        <f>+'Amortization&amp;Depreciation'!J119</f>
        <v>0</v>
      </c>
      <c r="K56" s="28">
        <f>+'Amortization&amp;Depreciation'!K119</f>
        <v>0</v>
      </c>
      <c r="L56" s="28">
        <f>+'Amortization&amp;Depreciation'!L119</f>
        <v>0</v>
      </c>
      <c r="M56" s="28">
        <f>+'Amortization&amp;Depreciation'!M119</f>
        <v>0</v>
      </c>
      <c r="N56" s="28">
        <f>+'Amortization&amp;Depreciation'!N119</f>
        <v>0</v>
      </c>
      <c r="O56" s="34">
        <f>SUM(C56:N56)</f>
        <v>0</v>
      </c>
    </row>
    <row r="57" spans="2:15" x14ac:dyDescent="0.15">
      <c r="B57" s="190" t="s">
        <v>58</v>
      </c>
      <c r="C57" s="7"/>
      <c r="D57" s="7"/>
      <c r="E57" s="7"/>
      <c r="F57" s="7"/>
      <c r="G57" s="7"/>
      <c r="H57" s="7"/>
      <c r="I57" s="7"/>
      <c r="J57" s="7"/>
      <c r="K57" s="7"/>
      <c r="L57" s="7"/>
      <c r="M57" s="7"/>
      <c r="N57" s="7"/>
      <c r="O57" s="34"/>
    </row>
    <row r="58" spans="2:15" x14ac:dyDescent="0.15">
      <c r="B58" s="191" t="s">
        <v>54</v>
      </c>
      <c r="C58" s="28">
        <f>+'Amortization&amp;Depreciation'!C15</f>
        <v>0</v>
      </c>
      <c r="D58" s="28">
        <f>+'Amortization&amp;Depreciation'!D15</f>
        <v>0</v>
      </c>
      <c r="E58" s="28">
        <f>+'Amortization&amp;Depreciation'!E15</f>
        <v>0</v>
      </c>
      <c r="F58" s="28">
        <f>+'Amortization&amp;Depreciation'!F15</f>
        <v>0</v>
      </c>
      <c r="G58" s="28">
        <f>+'Amortization&amp;Depreciation'!G15</f>
        <v>0</v>
      </c>
      <c r="H58" s="28">
        <f>+'Amortization&amp;Depreciation'!H15</f>
        <v>0</v>
      </c>
      <c r="I58" s="28">
        <f>+'Amortization&amp;Depreciation'!I15</f>
        <v>0</v>
      </c>
      <c r="J58" s="28">
        <f>+'Amortization&amp;Depreciation'!J15</f>
        <v>0</v>
      </c>
      <c r="K58" s="28">
        <f>+'Amortization&amp;Depreciation'!K15</f>
        <v>0</v>
      </c>
      <c r="L58" s="28">
        <f>+'Amortization&amp;Depreciation'!L15</f>
        <v>0</v>
      </c>
      <c r="M58" s="28">
        <f>+'Amortization&amp;Depreciation'!M15</f>
        <v>0</v>
      </c>
      <c r="N58" s="28">
        <f>+'Amortization&amp;Depreciation'!N15</f>
        <v>0</v>
      </c>
      <c r="O58" s="34">
        <f t="shared" ref="O58:O67" si="8">SUM(C58:N58)</f>
        <v>0</v>
      </c>
    </row>
    <row r="59" spans="2:15" x14ac:dyDescent="0.15">
      <c r="B59" s="191" t="s">
        <v>55</v>
      </c>
      <c r="C59" s="28" t="e">
        <f>+'Amortization&amp;Depreciation'!C35</f>
        <v>#NUM!</v>
      </c>
      <c r="D59" s="28" t="e">
        <f>+'Amortization&amp;Depreciation'!D35</f>
        <v>#NUM!</v>
      </c>
      <c r="E59" s="28" t="e">
        <f>+'Amortization&amp;Depreciation'!E35</f>
        <v>#NUM!</v>
      </c>
      <c r="F59" s="28" t="e">
        <f>+'Amortization&amp;Depreciation'!F35</f>
        <v>#NUM!</v>
      </c>
      <c r="G59" s="28" t="e">
        <f>+'Amortization&amp;Depreciation'!G35</f>
        <v>#NUM!</v>
      </c>
      <c r="H59" s="28" t="e">
        <f>+'Amortization&amp;Depreciation'!H35</f>
        <v>#NUM!</v>
      </c>
      <c r="I59" s="28" t="e">
        <f>+'Amortization&amp;Depreciation'!I35</f>
        <v>#NUM!</v>
      </c>
      <c r="J59" s="28" t="e">
        <f>+'Amortization&amp;Depreciation'!J35</f>
        <v>#NUM!</v>
      </c>
      <c r="K59" s="28" t="e">
        <f>+'Amortization&amp;Depreciation'!K35</f>
        <v>#NUM!</v>
      </c>
      <c r="L59" s="28" t="e">
        <f>+'Amortization&amp;Depreciation'!L35</f>
        <v>#NUM!</v>
      </c>
      <c r="M59" s="28" t="e">
        <f>+'Amortization&amp;Depreciation'!M35</f>
        <v>#NUM!</v>
      </c>
      <c r="N59" s="28" t="e">
        <f>+'Amortization&amp;Depreciation'!N35</f>
        <v>#NUM!</v>
      </c>
      <c r="O59" s="34" t="e">
        <f t="shared" si="8"/>
        <v>#NUM!</v>
      </c>
    </row>
    <row r="60" spans="2:15" x14ac:dyDescent="0.15">
      <c r="B60" s="191" t="s">
        <v>133</v>
      </c>
      <c r="C60" s="28" t="e">
        <f>+'Amortization&amp;Depreciation'!C55</f>
        <v>#NUM!</v>
      </c>
      <c r="D60" s="28" t="e">
        <f>+'Amortization&amp;Depreciation'!D55</f>
        <v>#NUM!</v>
      </c>
      <c r="E60" s="28" t="e">
        <f>+'Amortization&amp;Depreciation'!E55</f>
        <v>#NUM!</v>
      </c>
      <c r="F60" s="28" t="e">
        <f>+'Amortization&amp;Depreciation'!F55</f>
        <v>#NUM!</v>
      </c>
      <c r="G60" s="28" t="e">
        <f>+'Amortization&amp;Depreciation'!G55</f>
        <v>#NUM!</v>
      </c>
      <c r="H60" s="28" t="e">
        <f>+'Amortization&amp;Depreciation'!H55</f>
        <v>#NUM!</v>
      </c>
      <c r="I60" s="28" t="e">
        <f>+'Amortization&amp;Depreciation'!I55</f>
        <v>#NUM!</v>
      </c>
      <c r="J60" s="28" t="e">
        <f>+'Amortization&amp;Depreciation'!J55</f>
        <v>#NUM!</v>
      </c>
      <c r="K60" s="28" t="e">
        <f>+'Amortization&amp;Depreciation'!K55</f>
        <v>#NUM!</v>
      </c>
      <c r="L60" s="28" t="e">
        <f>+'Amortization&amp;Depreciation'!L55</f>
        <v>#NUM!</v>
      </c>
      <c r="M60" s="28" t="e">
        <f>+'Amortization&amp;Depreciation'!M55</f>
        <v>#NUM!</v>
      </c>
      <c r="N60" s="28" t="e">
        <f>+'Amortization&amp;Depreciation'!N55</f>
        <v>#NUM!</v>
      </c>
      <c r="O60" s="34" t="e">
        <f t="shared" si="8"/>
        <v>#NUM!</v>
      </c>
    </row>
    <row r="61" spans="2:15" x14ac:dyDescent="0.15">
      <c r="B61" s="191" t="s">
        <v>134</v>
      </c>
      <c r="C61" s="28" t="e">
        <f>+'Amortization&amp;Depreciation'!C75</f>
        <v>#NUM!</v>
      </c>
      <c r="D61" s="28" t="e">
        <f>+'Amortization&amp;Depreciation'!D75</f>
        <v>#NUM!</v>
      </c>
      <c r="E61" s="28" t="e">
        <f>+'Amortization&amp;Depreciation'!E75</f>
        <v>#NUM!</v>
      </c>
      <c r="F61" s="28" t="e">
        <f>+'Amortization&amp;Depreciation'!F75</f>
        <v>#NUM!</v>
      </c>
      <c r="G61" s="28" t="e">
        <f>+'Amortization&amp;Depreciation'!G75</f>
        <v>#NUM!</v>
      </c>
      <c r="H61" s="28" t="e">
        <f>+'Amortization&amp;Depreciation'!H75</f>
        <v>#NUM!</v>
      </c>
      <c r="I61" s="28" t="e">
        <f>+'Amortization&amp;Depreciation'!I75</f>
        <v>#NUM!</v>
      </c>
      <c r="J61" s="28" t="e">
        <f>+'Amortization&amp;Depreciation'!J75</f>
        <v>#NUM!</v>
      </c>
      <c r="K61" s="28" t="e">
        <f>+'Amortization&amp;Depreciation'!K75</f>
        <v>#NUM!</v>
      </c>
      <c r="L61" s="28" t="e">
        <f>+'Amortization&amp;Depreciation'!L75</f>
        <v>#NUM!</v>
      </c>
      <c r="M61" s="28" t="e">
        <f>+'Amortization&amp;Depreciation'!M75</f>
        <v>#NUM!</v>
      </c>
      <c r="N61" s="28" t="e">
        <f>+'Amortization&amp;Depreciation'!N75</f>
        <v>#NUM!</v>
      </c>
      <c r="O61" s="34" t="e">
        <f>SUM(C61:N61)</f>
        <v>#NUM!</v>
      </c>
    </row>
    <row r="62" spans="2:15" x14ac:dyDescent="0.15">
      <c r="B62" s="191" t="s">
        <v>135</v>
      </c>
      <c r="C62" s="28" t="e">
        <f>+'Amortization&amp;Depreciation'!C95</f>
        <v>#NUM!</v>
      </c>
      <c r="D62" s="28" t="e">
        <f>+'Amortization&amp;Depreciation'!D95</f>
        <v>#NUM!</v>
      </c>
      <c r="E62" s="28" t="e">
        <f>+'Amortization&amp;Depreciation'!E95</f>
        <v>#NUM!</v>
      </c>
      <c r="F62" s="28" t="e">
        <f>+'Amortization&amp;Depreciation'!F95</f>
        <v>#NUM!</v>
      </c>
      <c r="G62" s="28" t="e">
        <f>+'Amortization&amp;Depreciation'!G95</f>
        <v>#NUM!</v>
      </c>
      <c r="H62" s="28" t="e">
        <f>+'Amortization&amp;Depreciation'!H95</f>
        <v>#NUM!</v>
      </c>
      <c r="I62" s="28" t="e">
        <f>+'Amortization&amp;Depreciation'!I95</f>
        <v>#NUM!</v>
      </c>
      <c r="J62" s="28" t="e">
        <f>+'Amortization&amp;Depreciation'!J95</f>
        <v>#NUM!</v>
      </c>
      <c r="K62" s="28" t="e">
        <f>+'Amortization&amp;Depreciation'!K95</f>
        <v>#NUM!</v>
      </c>
      <c r="L62" s="28" t="e">
        <f>+'Amortization&amp;Depreciation'!L95</f>
        <v>#NUM!</v>
      </c>
      <c r="M62" s="28" t="e">
        <f>+'Amortization&amp;Depreciation'!M95</f>
        <v>#NUM!</v>
      </c>
      <c r="N62" s="28" t="e">
        <f>+'Amortization&amp;Depreciation'!N95</f>
        <v>#NUM!</v>
      </c>
      <c r="O62" s="34" t="e">
        <f t="shared" si="8"/>
        <v>#NUM!</v>
      </c>
    </row>
    <row r="63" spans="2:15" x14ac:dyDescent="0.15">
      <c r="B63" s="191" t="s">
        <v>268</v>
      </c>
      <c r="C63" s="28">
        <f>'6a-CashFlowYear1'!C26</f>
        <v>0</v>
      </c>
      <c r="D63" s="28" t="e">
        <f>+'6a-CashFlowYear1'!D26</f>
        <v>#DIV/0!</v>
      </c>
      <c r="E63" s="28" t="e">
        <f>+'6a-CashFlowYear1'!E26</f>
        <v>#DIV/0!</v>
      </c>
      <c r="F63" s="28" t="e">
        <f>+'6a-CashFlowYear1'!F26</f>
        <v>#DIV/0!</v>
      </c>
      <c r="G63" s="28" t="e">
        <f>+'6a-CashFlowYear1'!G26</f>
        <v>#DIV/0!</v>
      </c>
      <c r="H63" s="28" t="e">
        <f>+'6a-CashFlowYear1'!H26</f>
        <v>#DIV/0!</v>
      </c>
      <c r="I63" s="28" t="e">
        <f>+'6a-CashFlowYear1'!I26</f>
        <v>#DIV/0!</v>
      </c>
      <c r="J63" s="28" t="e">
        <f>+'6a-CashFlowYear1'!J26</f>
        <v>#DIV/0!</v>
      </c>
      <c r="K63" s="28" t="e">
        <f>+'6a-CashFlowYear1'!K26</f>
        <v>#DIV/0!</v>
      </c>
      <c r="L63" s="28" t="e">
        <f>+'6a-CashFlowYear1'!L26</f>
        <v>#DIV/0!</v>
      </c>
      <c r="M63" s="28" t="e">
        <f>+'6a-CashFlowYear1'!M26</f>
        <v>#DIV/0!</v>
      </c>
      <c r="N63" s="28" t="e">
        <f>+'6a-CashFlowYear1'!N26</f>
        <v>#DIV/0!</v>
      </c>
      <c r="O63" s="34" t="e">
        <f t="shared" si="8"/>
        <v>#DIV/0!</v>
      </c>
    </row>
    <row r="64" spans="2:15" x14ac:dyDescent="0.15">
      <c r="B64" s="190" t="s">
        <v>267</v>
      </c>
      <c r="C64" s="28" t="e">
        <f>+SalesForecastYear1!C122*'4-AdditionalInputs'!$C$12</f>
        <v>#DIV/0!</v>
      </c>
      <c r="D64" s="28" t="e">
        <f>+SalesForecastYear1!D122*'4-AdditionalInputs'!$C$12</f>
        <v>#DIV/0!</v>
      </c>
      <c r="E64" s="28" t="e">
        <f>+SalesForecastYear1!E122*'4-AdditionalInputs'!$C$12</f>
        <v>#DIV/0!</v>
      </c>
      <c r="F64" s="28" t="e">
        <f>+SalesForecastYear1!F122*'4-AdditionalInputs'!$C$12</f>
        <v>#DIV/0!</v>
      </c>
      <c r="G64" s="28" t="e">
        <f>+SalesForecastYear1!G122*'4-AdditionalInputs'!$C$12</f>
        <v>#DIV/0!</v>
      </c>
      <c r="H64" s="28" t="e">
        <f>+SalesForecastYear1!H122*'4-AdditionalInputs'!$C$12</f>
        <v>#DIV/0!</v>
      </c>
      <c r="I64" s="28" t="e">
        <f>+SalesForecastYear1!I122*'4-AdditionalInputs'!$C$12</f>
        <v>#DIV/0!</v>
      </c>
      <c r="J64" s="28" t="e">
        <f>+SalesForecastYear1!J122*'4-AdditionalInputs'!$C$12</f>
        <v>#DIV/0!</v>
      </c>
      <c r="K64" s="28" t="e">
        <f>+SalesForecastYear1!K122*'4-AdditionalInputs'!$C$12</f>
        <v>#DIV/0!</v>
      </c>
      <c r="L64" s="28" t="e">
        <f>+SalesForecastYear1!L122*'4-AdditionalInputs'!$C$12</f>
        <v>#DIV/0!</v>
      </c>
      <c r="M64" s="28" t="e">
        <f>+SalesForecastYear1!M122*'4-AdditionalInputs'!$C$12</f>
        <v>#DIV/0!</v>
      </c>
      <c r="N64" s="28" t="e">
        <f>+SalesForecastYear1!N122*'4-AdditionalInputs'!$C$12</f>
        <v>#DIV/0!</v>
      </c>
      <c r="O64" s="34" t="e">
        <f t="shared" si="8"/>
        <v>#DIV/0!</v>
      </c>
    </row>
    <row r="65" spans="1:15" x14ac:dyDescent="0.15">
      <c r="B65" s="189" t="s">
        <v>148</v>
      </c>
      <c r="C65" s="28" t="e">
        <f>SUM(C55:C64)</f>
        <v>#NUM!</v>
      </c>
      <c r="D65" s="28" t="e">
        <f t="shared" ref="D65:N65" si="9">SUM(D55:D64)</f>
        <v>#NUM!</v>
      </c>
      <c r="E65" s="28" t="e">
        <f t="shared" si="9"/>
        <v>#NUM!</v>
      </c>
      <c r="F65" s="28" t="e">
        <f t="shared" si="9"/>
        <v>#NUM!</v>
      </c>
      <c r="G65" s="28" t="e">
        <f t="shared" si="9"/>
        <v>#NUM!</v>
      </c>
      <c r="H65" s="28" t="e">
        <f t="shared" si="9"/>
        <v>#NUM!</v>
      </c>
      <c r="I65" s="28" t="e">
        <f t="shared" si="9"/>
        <v>#NUM!</v>
      </c>
      <c r="J65" s="28" t="e">
        <f t="shared" si="9"/>
        <v>#NUM!</v>
      </c>
      <c r="K65" s="28" t="e">
        <f t="shared" si="9"/>
        <v>#NUM!</v>
      </c>
      <c r="L65" s="28" t="e">
        <f t="shared" si="9"/>
        <v>#NUM!</v>
      </c>
      <c r="M65" s="28" t="e">
        <f t="shared" si="9"/>
        <v>#NUM!</v>
      </c>
      <c r="N65" s="28" t="e">
        <f t="shared" si="9"/>
        <v>#NUM!</v>
      </c>
      <c r="O65" s="34" t="e">
        <f t="shared" si="8"/>
        <v>#NUM!</v>
      </c>
    </row>
    <row r="66" spans="1:15" x14ac:dyDescent="0.15">
      <c r="B66" s="44" t="s">
        <v>220</v>
      </c>
      <c r="C66" s="34" t="e">
        <f t="shared" ref="C66:N66" si="10">C32-C33-C52-C65</f>
        <v>#REF!</v>
      </c>
      <c r="D66" s="34" t="e">
        <f t="shared" si="10"/>
        <v>#REF!</v>
      </c>
      <c r="E66" s="34" t="e">
        <f t="shared" si="10"/>
        <v>#REF!</v>
      </c>
      <c r="F66" s="34" t="e">
        <f t="shared" si="10"/>
        <v>#REF!</v>
      </c>
      <c r="G66" s="34" t="e">
        <f t="shared" si="10"/>
        <v>#REF!</v>
      </c>
      <c r="H66" s="34" t="e">
        <f t="shared" si="10"/>
        <v>#REF!</v>
      </c>
      <c r="I66" s="34" t="e">
        <f t="shared" si="10"/>
        <v>#REF!</v>
      </c>
      <c r="J66" s="34" t="e">
        <f t="shared" si="10"/>
        <v>#REF!</v>
      </c>
      <c r="K66" s="34" t="e">
        <f t="shared" si="10"/>
        <v>#REF!</v>
      </c>
      <c r="L66" s="34" t="e">
        <f t="shared" si="10"/>
        <v>#REF!</v>
      </c>
      <c r="M66" s="34" t="e">
        <f t="shared" si="10"/>
        <v>#REF!</v>
      </c>
      <c r="N66" s="34" t="e">
        <f t="shared" si="10"/>
        <v>#REF!</v>
      </c>
      <c r="O66" s="34" t="e">
        <f t="shared" si="8"/>
        <v>#REF!</v>
      </c>
    </row>
    <row r="67" spans="1:15" x14ac:dyDescent="0.15">
      <c r="B67" s="24" t="s">
        <v>221</v>
      </c>
      <c r="C67" s="57" t="e">
        <f>IF(C73&gt;0,C72*'4-AdditionalInputs'!$C$39,0)</f>
        <v>#REF!</v>
      </c>
      <c r="D67" s="57" t="e">
        <f>+IF(D73&gt;0,IF(C73&lt;0,(D72-ABS(C73))*'4-AdditionalInputs'!$C$39,'7a-IncomeStatementYear1'!D72*'4-AdditionalInputs'!$C$39),IF('7a-IncomeStatementYear1'!C73&gt;0,-'7a-IncomeStatementYear1'!C73*'4-AdditionalInputs'!$C$39,0))</f>
        <v>#REF!</v>
      </c>
      <c r="E67" s="57" t="e">
        <f>+IF(E73&gt;0,IF(D73&lt;0,(E72-ABS(D73))*'4-AdditionalInputs'!$C$39,'7a-IncomeStatementYear1'!E72*'4-AdditionalInputs'!$C$39),IF('7a-IncomeStatementYear1'!D73&gt;0,-'7a-IncomeStatementYear1'!D73*'4-AdditionalInputs'!$C$39,0))</f>
        <v>#REF!</v>
      </c>
      <c r="F67" s="57" t="e">
        <f>+IF(F73&gt;0,IF(E73&lt;0,(F72-ABS(E73))*'4-AdditionalInputs'!$C$39,'7a-IncomeStatementYear1'!F72*'4-AdditionalInputs'!$C$39),IF('7a-IncomeStatementYear1'!E73&gt;0,-'7a-IncomeStatementYear1'!E73*'4-AdditionalInputs'!$C$39,0))</f>
        <v>#REF!</v>
      </c>
      <c r="G67" s="57" t="e">
        <f>+IF(G73&gt;0,IF(F73&lt;0,(G72-ABS(F73))*'4-AdditionalInputs'!$C$39,'7a-IncomeStatementYear1'!G72*'4-AdditionalInputs'!$C$39),IF('7a-IncomeStatementYear1'!F73&gt;0,-'7a-IncomeStatementYear1'!F73*'4-AdditionalInputs'!$C$39,0))</f>
        <v>#REF!</v>
      </c>
      <c r="H67" s="57" t="e">
        <f>+IF(H73&gt;0,IF(G73&lt;0,(H72-ABS(G73))*'4-AdditionalInputs'!$C$39,'7a-IncomeStatementYear1'!H72*'4-AdditionalInputs'!$C$39),IF('7a-IncomeStatementYear1'!G73&gt;0,-'7a-IncomeStatementYear1'!G73*'4-AdditionalInputs'!$C$39,0))</f>
        <v>#REF!</v>
      </c>
      <c r="I67" s="57" t="e">
        <f>+IF(I73&gt;0,IF(H73&lt;0,(I72-ABS(H73))*'4-AdditionalInputs'!$C$39,'7a-IncomeStatementYear1'!I72*'4-AdditionalInputs'!$C$39),IF('7a-IncomeStatementYear1'!H73&gt;0,-'7a-IncomeStatementYear1'!H73*'4-AdditionalInputs'!$C$39,0))</f>
        <v>#REF!</v>
      </c>
      <c r="J67" s="57" t="e">
        <f>+IF(J73&gt;0,IF(I73&lt;0,(J72-ABS(I73))*'4-AdditionalInputs'!$C$39,'7a-IncomeStatementYear1'!J72*'4-AdditionalInputs'!$C$39),IF('7a-IncomeStatementYear1'!I73&gt;0,-'7a-IncomeStatementYear1'!I73*'4-AdditionalInputs'!$C$39,0))</f>
        <v>#REF!</v>
      </c>
      <c r="K67" s="57" t="e">
        <f>+IF(K73&gt;0,IF(J73&lt;0,(K72-ABS(J73))*'4-AdditionalInputs'!$C$39,'7a-IncomeStatementYear1'!K72*'4-AdditionalInputs'!$C$39),IF('7a-IncomeStatementYear1'!J73&gt;0,-'7a-IncomeStatementYear1'!J73*'4-AdditionalInputs'!$C$39,0))</f>
        <v>#REF!</v>
      </c>
      <c r="L67" s="57" t="e">
        <f>+IF(L73&gt;0,IF(K73&lt;0,(L72-ABS(K73))*'4-AdditionalInputs'!$C$39,'7a-IncomeStatementYear1'!L72*'4-AdditionalInputs'!$C$39),IF('7a-IncomeStatementYear1'!K73&gt;0,-'7a-IncomeStatementYear1'!K73*'4-AdditionalInputs'!$C$39,0))</f>
        <v>#REF!</v>
      </c>
      <c r="M67" s="57" t="e">
        <f>+IF(M73&gt;0,IF(L73&lt;0,(M72-ABS(L73))*'4-AdditionalInputs'!$C$39,'7a-IncomeStatementYear1'!M72*'4-AdditionalInputs'!$C$39),IF('7a-IncomeStatementYear1'!L73&gt;0,-'7a-IncomeStatementYear1'!L73*'4-AdditionalInputs'!$C$39,0))</f>
        <v>#REF!</v>
      </c>
      <c r="N67" s="57" t="e">
        <f>+IF(N73&gt;0,IF(M73&lt;0,(N72-ABS(M73))*'4-AdditionalInputs'!$C$39,'7a-IncomeStatementYear1'!N72*'4-AdditionalInputs'!$C$39),IF('7a-IncomeStatementYear1'!M73&gt;0,-'7a-IncomeStatementYear1'!M73*'4-AdditionalInputs'!$C$39,0))</f>
        <v>#REF!</v>
      </c>
      <c r="O67" s="34" t="e">
        <f t="shared" si="8"/>
        <v>#REF!</v>
      </c>
    </row>
    <row r="68" spans="1:15" x14ac:dyDescent="0.15">
      <c r="B68" s="24" t="s">
        <v>295</v>
      </c>
      <c r="C68" s="34" t="e">
        <f t="shared" ref="C68:M68" si="11">C66-C67</f>
        <v>#REF!</v>
      </c>
      <c r="D68" s="34" t="e">
        <f t="shared" si="11"/>
        <v>#REF!</v>
      </c>
      <c r="E68" s="34" t="e">
        <f t="shared" si="11"/>
        <v>#REF!</v>
      </c>
      <c r="F68" s="34" t="e">
        <f t="shared" si="11"/>
        <v>#REF!</v>
      </c>
      <c r="G68" s="34" t="e">
        <f t="shared" si="11"/>
        <v>#REF!</v>
      </c>
      <c r="H68" s="34" t="e">
        <f t="shared" si="11"/>
        <v>#REF!</v>
      </c>
      <c r="I68" s="34" t="e">
        <f t="shared" si="11"/>
        <v>#REF!</v>
      </c>
      <c r="J68" s="34" t="e">
        <f t="shared" si="11"/>
        <v>#REF!</v>
      </c>
      <c r="K68" s="34" t="e">
        <f t="shared" si="11"/>
        <v>#REF!</v>
      </c>
      <c r="L68" s="34" t="e">
        <f t="shared" si="11"/>
        <v>#REF!</v>
      </c>
      <c r="M68" s="34" t="e">
        <f t="shared" si="11"/>
        <v>#REF!</v>
      </c>
      <c r="N68" s="34" t="e">
        <f t="shared" ref="N68" si="12">N66-N67</f>
        <v>#REF!</v>
      </c>
      <c r="O68" s="34" t="e">
        <f>SUM(C68:N68)</f>
        <v>#REF!</v>
      </c>
    </row>
    <row r="71" spans="1:15" x14ac:dyDescent="0.15">
      <c r="A71" s="417"/>
      <c r="B71" s="418" t="s">
        <v>283</v>
      </c>
      <c r="C71" s="419"/>
      <c r="D71" s="419"/>
      <c r="E71" s="419"/>
      <c r="F71" s="419"/>
      <c r="G71" s="419"/>
      <c r="H71" s="419"/>
      <c r="I71" s="419"/>
      <c r="J71" s="419"/>
      <c r="K71" s="419"/>
      <c r="L71" s="419"/>
      <c r="M71" s="419"/>
      <c r="N71" s="419"/>
      <c r="O71" s="417"/>
    </row>
    <row r="72" spans="1:15" x14ac:dyDescent="0.15">
      <c r="A72" s="417"/>
      <c r="B72" s="419" t="s">
        <v>284</v>
      </c>
      <c r="C72" s="420" t="e">
        <f>C53-C56-C58-C59-C63</f>
        <v>#REF!</v>
      </c>
      <c r="D72" s="420" t="e">
        <f>D53-D56-D58-D59-D63</f>
        <v>#REF!</v>
      </c>
      <c r="E72" s="420" t="e">
        <f>E53-E56-E58-E59-E63</f>
        <v>#REF!</v>
      </c>
      <c r="F72" s="420" t="e">
        <f>F53-F56-F58-F59-F63</f>
        <v>#REF!</v>
      </c>
      <c r="G72" s="420" t="e">
        <f>G53-G56-G58-G59-G63</f>
        <v>#REF!</v>
      </c>
      <c r="H72" s="420" t="e">
        <f t="shared" ref="H72:N72" si="13">+H53-H56-H58-H59-H63</f>
        <v>#REF!</v>
      </c>
      <c r="I72" s="420" t="e">
        <f t="shared" si="13"/>
        <v>#REF!</v>
      </c>
      <c r="J72" s="420" t="e">
        <f t="shared" si="13"/>
        <v>#REF!</v>
      </c>
      <c r="K72" s="420" t="e">
        <f t="shared" si="13"/>
        <v>#REF!</v>
      </c>
      <c r="L72" s="420" t="e">
        <f t="shared" si="13"/>
        <v>#REF!</v>
      </c>
      <c r="M72" s="420" t="e">
        <f t="shared" si="13"/>
        <v>#REF!</v>
      </c>
      <c r="N72" s="420" t="e">
        <f t="shared" si="13"/>
        <v>#REF!</v>
      </c>
      <c r="O72" s="417"/>
    </row>
    <row r="73" spans="1:15" x14ac:dyDescent="0.15">
      <c r="A73" s="417"/>
      <c r="B73" s="419" t="s">
        <v>323</v>
      </c>
      <c r="C73" s="420" t="e">
        <f>C72</f>
        <v>#REF!</v>
      </c>
      <c r="D73" s="420" t="e">
        <f>C73+D72</f>
        <v>#REF!</v>
      </c>
      <c r="E73" s="420" t="e">
        <f>D73+E72</f>
        <v>#REF!</v>
      </c>
      <c r="F73" s="420" t="e">
        <f>E73+F72</f>
        <v>#REF!</v>
      </c>
      <c r="G73" s="420" t="e">
        <f>F73+G72</f>
        <v>#REF!</v>
      </c>
      <c r="H73" s="420" t="e">
        <f t="shared" ref="H73:N73" si="14">+G73+H72</f>
        <v>#REF!</v>
      </c>
      <c r="I73" s="420" t="e">
        <f t="shared" si="14"/>
        <v>#REF!</v>
      </c>
      <c r="J73" s="420" t="e">
        <f t="shared" si="14"/>
        <v>#REF!</v>
      </c>
      <c r="K73" s="420" t="e">
        <f t="shared" si="14"/>
        <v>#REF!</v>
      </c>
      <c r="L73" s="420" t="e">
        <f t="shared" si="14"/>
        <v>#REF!</v>
      </c>
      <c r="M73" s="420" t="e">
        <f t="shared" si="14"/>
        <v>#REF!</v>
      </c>
      <c r="N73" s="420" t="e">
        <f t="shared" si="14"/>
        <v>#REF!</v>
      </c>
      <c r="O73" s="417"/>
    </row>
    <row r="74" spans="1:15" x14ac:dyDescent="0.15">
      <c r="A74" s="417"/>
      <c r="B74" s="417"/>
      <c r="C74" s="417"/>
      <c r="D74" s="417"/>
      <c r="E74" s="417"/>
      <c r="F74" s="417"/>
      <c r="G74" s="417"/>
      <c r="H74" s="417"/>
      <c r="I74" s="417"/>
      <c r="J74" s="417"/>
      <c r="K74" s="417"/>
      <c r="L74" s="417"/>
      <c r="M74" s="417"/>
      <c r="N74" s="417"/>
      <c r="O74" s="417"/>
    </row>
    <row r="75" spans="1:15" x14ac:dyDescent="0.15">
      <c r="A75" s="417"/>
      <c r="B75" s="417"/>
      <c r="C75" s="417"/>
      <c r="D75" s="417"/>
      <c r="E75" s="417"/>
      <c r="F75" s="417"/>
      <c r="G75" s="417"/>
      <c r="H75" s="417"/>
      <c r="I75" s="417"/>
      <c r="J75" s="417"/>
      <c r="K75" s="417"/>
      <c r="L75" s="417"/>
      <c r="M75" s="417"/>
      <c r="N75" s="417"/>
      <c r="O75" s="417"/>
    </row>
  </sheetData>
  <sheetProtection algorithmName="SHA-512" hashValue="DJ68YUvJ5eo4rt5wKrmzpa8jpkXbuXI7t5qUtMtBrfBJOw78SEyA6CMvPyzIrwSKvpB+i3MBT37uNF+E+hYoyg==" saltValue="JEj8LZ5eOsEjb25VZ84W/w==" spinCount="100000" sheet="1" objects="1" scenarios="1" formatCells="0" formatColumns="0"/>
  <mergeCells count="3">
    <mergeCell ref="B2:C2"/>
    <mergeCell ref="C4:D4"/>
    <mergeCell ref="C5:D5"/>
  </mergeCells>
  <phoneticPr fontId="3" type="noConversion"/>
  <conditionalFormatting sqref="C67:N67">
    <cfRule type="containsBlanks" dxfId="33" priority="1">
      <formula>LEN(TRIM(C67))=0</formula>
    </cfRule>
  </conditionalFormatting>
  <printOptions horizontalCentered="1"/>
  <pageMargins left="0.25" right="0.25" top="0.75" bottom="0.75" header="0.3" footer="0.3"/>
  <pageSetup scale="63" orientation="landscape"/>
  <headerFooter scaleWithDoc="0">
    <oddHeader>&amp;C&amp;"Gill Sans MT,Regular"&amp;12Income Statement Year 1</oddHeader>
    <oddFooter>&amp;L&amp;F&amp;C&amp;A&amp;R&amp;D &amp;T</oddFooter>
  </headerFooter>
  <rowBreaks count="1" manualBreakCount="1">
    <brk id="68" min="1" max="14" man="1"/>
  </rowBreaks>
  <legacyDrawing r:id="rId1"/>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rgb="FFFFC95B"/>
    <pageSetUpPr fitToPage="1"/>
  </sheetPr>
  <dimension ref="A1:W90"/>
  <sheetViews>
    <sheetView topLeftCell="A28" zoomScale="90" zoomScaleNormal="90" zoomScalePageLayoutView="90" workbookViewId="0">
      <selection activeCell="G30" sqref="G30"/>
    </sheetView>
  </sheetViews>
  <sheetFormatPr baseColWidth="10" defaultColWidth="8.83203125" defaultRowHeight="12" x14ac:dyDescent="0.15"/>
  <cols>
    <col min="1" max="1" width="3.83203125" style="74" customWidth="1"/>
    <col min="2" max="2" width="46.6640625" style="74" bestFit="1" customWidth="1"/>
    <col min="3" max="3" width="17.5" style="74" bestFit="1" customWidth="1"/>
    <col min="4" max="4" width="9.33203125" style="192" customWidth="1"/>
    <col min="5" max="5" width="13.83203125" style="74" bestFit="1" customWidth="1"/>
    <col min="6" max="6" width="9.33203125" style="193" customWidth="1"/>
    <col min="7" max="7" width="12.5" style="74" bestFit="1" customWidth="1"/>
    <col min="8" max="8" width="9.6640625" style="192" bestFit="1" customWidth="1"/>
    <col min="9" max="11" width="9.6640625" style="74" bestFit="1" customWidth="1"/>
    <col min="12" max="14" width="10.1640625" style="74" bestFit="1" customWidth="1"/>
    <col min="15" max="15" width="11.5" style="74" bestFit="1" customWidth="1"/>
    <col min="16" max="16384" width="8.83203125" style="74"/>
  </cols>
  <sheetData>
    <row r="1" spans="2:11" x14ac:dyDescent="0.15">
      <c r="I1" s="43"/>
      <c r="J1" s="43"/>
    </row>
    <row r="2" spans="2:11" x14ac:dyDescent="0.15">
      <c r="B2" s="730" t="s">
        <v>314</v>
      </c>
      <c r="C2" s="730"/>
      <c r="D2" s="194"/>
      <c r="E2" s="160"/>
      <c r="F2" s="195"/>
      <c r="G2" s="160"/>
      <c r="H2" s="194"/>
      <c r="I2" s="731"/>
      <c r="J2" s="731"/>
      <c r="K2" s="731"/>
    </row>
    <row r="3" spans="2:11" x14ac:dyDescent="0.15">
      <c r="B3" s="54"/>
      <c r="C3" s="54"/>
      <c r="D3" s="194"/>
      <c r="E3" s="160"/>
      <c r="F3" s="195"/>
      <c r="G3" s="160"/>
      <c r="H3" s="194"/>
      <c r="I3" s="731"/>
      <c r="J3" s="731"/>
      <c r="K3" s="731"/>
    </row>
    <row r="4" spans="2:11" ht="19.5" customHeight="1" x14ac:dyDescent="0.15">
      <c r="B4" s="55" t="s">
        <v>119</v>
      </c>
      <c r="C4" s="55" t="s">
        <v>120</v>
      </c>
      <c r="D4" s="196"/>
      <c r="E4" s="55"/>
      <c r="F4" s="197"/>
      <c r="G4" s="160"/>
      <c r="H4" s="196"/>
      <c r="I4" s="43"/>
      <c r="J4" s="43"/>
    </row>
    <row r="5" spans="2:11" ht="18.75" customHeight="1" x14ac:dyDescent="0.15">
      <c r="B5" s="18" t="str">
        <f>IF(ISBLANK(Directions!C6), "Owner", Directions!C6)</f>
        <v>Owner</v>
      </c>
      <c r="C5" s="18" t="str">
        <f>IF(ISBLANK(Directions!D6), "Company 1", Directions!D6)</f>
        <v>Company 1</v>
      </c>
      <c r="D5" s="198"/>
      <c r="E5" s="18"/>
      <c r="F5" s="199"/>
      <c r="G5" s="160"/>
      <c r="H5" s="198"/>
      <c r="I5" s="43"/>
      <c r="J5" s="43"/>
    </row>
    <row r="6" spans="2:11" x14ac:dyDescent="0.15">
      <c r="I6" s="43"/>
      <c r="J6" s="43"/>
    </row>
    <row r="7" spans="2:11" ht="14" thickBot="1" x14ac:dyDescent="0.2">
      <c r="B7" s="326" t="s">
        <v>128</v>
      </c>
      <c r="C7" s="326" t="str">
        <f>IF(Directions!F6&gt;0,Directions!F6,"First Year")</f>
        <v>First Year</v>
      </c>
      <c r="D7" s="326"/>
      <c r="E7" s="326" t="str">
        <f>IF(Directions!F6&gt;0,Directions!F6+1,"Second Year")</f>
        <v>Second Year</v>
      </c>
      <c r="F7" s="326"/>
      <c r="G7" s="326" t="str">
        <f>IF(Directions!F6&gt;0,Directions!F6+2,"Third Year")</f>
        <v>Third Year</v>
      </c>
      <c r="H7" s="326"/>
      <c r="I7" s="43"/>
      <c r="J7" s="43"/>
    </row>
    <row r="8" spans="2:11" ht="13" thickTop="1" x14ac:dyDescent="0.15">
      <c r="B8" s="331" t="str">
        <f>SalesForecastYear1!B24</f>
        <v>Classroom or program 1</v>
      </c>
      <c r="C8" s="410">
        <f>'3b-SalesForecastYrs1-3'!B13</f>
        <v>0</v>
      </c>
      <c r="D8" s="332"/>
      <c r="E8" s="410">
        <f>'3b-SalesForecastYrs1-3'!O13</f>
        <v>0</v>
      </c>
      <c r="F8" s="333"/>
      <c r="G8" s="410">
        <f>'3b-SalesForecastYrs1-3'!AD13</f>
        <v>0</v>
      </c>
      <c r="H8" s="332"/>
      <c r="I8" s="43"/>
      <c r="J8" s="43"/>
    </row>
    <row r="9" spans="2:11" x14ac:dyDescent="0.15">
      <c r="B9" s="202" t="str">
        <f>SalesForecastYear1!B33</f>
        <v>Classroom or program 2</v>
      </c>
      <c r="C9" s="38">
        <f>'3b-SalesForecastYrs1-3'!B19</f>
        <v>0</v>
      </c>
      <c r="D9" s="205"/>
      <c r="E9" s="38">
        <f>'3b-SalesForecastYrs1-3'!O19</f>
        <v>0</v>
      </c>
      <c r="F9" s="206"/>
      <c r="G9" s="38">
        <f>'3b-SalesForecastYrs1-3'!AD19</f>
        <v>0</v>
      </c>
      <c r="H9" s="205"/>
      <c r="I9" s="43"/>
      <c r="J9" s="43"/>
    </row>
    <row r="10" spans="2:11" x14ac:dyDescent="0.15">
      <c r="B10" s="185" t="str">
        <f>SalesForecastYear1!B40</f>
        <v>Classroom or program 3</v>
      </c>
      <c r="C10" s="38">
        <f>'3b-SalesForecastYrs1-3'!B25</f>
        <v>0</v>
      </c>
      <c r="D10" s="203"/>
      <c r="E10" s="38">
        <f>'3b-SalesForecastYrs1-3'!O25</f>
        <v>0</v>
      </c>
      <c r="F10" s="204"/>
      <c r="G10" s="38">
        <f>'3b-SalesForecastYrs1-3'!AD25</f>
        <v>0</v>
      </c>
      <c r="H10" s="203"/>
      <c r="I10" s="43"/>
      <c r="J10" s="43"/>
    </row>
    <row r="11" spans="2:11" x14ac:dyDescent="0.15">
      <c r="B11" s="202" t="str">
        <f>SalesForecastYear1!B47</f>
        <v>Classroom or program 4</v>
      </c>
      <c r="C11" s="38">
        <f>'3b-SalesForecastYrs1-3'!B31</f>
        <v>0</v>
      </c>
      <c r="D11" s="203"/>
      <c r="E11" s="38">
        <f>'3b-SalesForecastYrs1-3'!O31</f>
        <v>0</v>
      </c>
      <c r="F11" s="204"/>
      <c r="G11" s="38">
        <f>'3b-SalesForecastYrs1-3'!AD31</f>
        <v>0</v>
      </c>
      <c r="H11" s="203"/>
      <c r="I11" s="43"/>
      <c r="J11" s="43"/>
    </row>
    <row r="12" spans="2:11" x14ac:dyDescent="0.15">
      <c r="B12" s="202" t="str">
        <f>SalesForecastYear1!B54</f>
        <v>Classroom or program 5</v>
      </c>
      <c r="C12" s="38">
        <f>'3b-SalesForecastYrs1-3'!B37</f>
        <v>0</v>
      </c>
      <c r="D12" s="203"/>
      <c r="E12" s="38">
        <f>'3b-SalesForecastYrs1-3'!O37</f>
        <v>0</v>
      </c>
      <c r="F12" s="204"/>
      <c r="G12" s="38">
        <f>'3b-SalesForecastYrs1-3'!AD37</f>
        <v>0</v>
      </c>
      <c r="H12" s="203"/>
      <c r="I12" s="43"/>
      <c r="J12" s="43"/>
    </row>
    <row r="13" spans="2:11" x14ac:dyDescent="0.15">
      <c r="B13" s="202" t="e">
        <f>SalesForecastYear1!#REF!</f>
        <v>#REF!</v>
      </c>
      <c r="C13" s="38" t="e">
        <f>'3b-SalesForecastYrs1-3'!B43</f>
        <v>#REF!</v>
      </c>
      <c r="D13" s="203"/>
      <c r="E13" s="38" t="e">
        <f>'3b-SalesForecastYrs1-3'!O43</f>
        <v>#REF!</v>
      </c>
      <c r="F13" s="204"/>
      <c r="G13" s="38" t="e">
        <f>'3b-SalesForecastYrs1-3'!AD43</f>
        <v>#REF!</v>
      </c>
      <c r="H13" s="203"/>
      <c r="I13" s="43"/>
      <c r="J13" s="43"/>
    </row>
    <row r="14" spans="2:11" x14ac:dyDescent="0.15">
      <c r="B14" s="202" t="str">
        <f>SalesForecastYear1!B68</f>
        <v>Classroom or program 7</v>
      </c>
      <c r="C14" s="38">
        <f>'3b-SalesForecastYrs1-3'!B49</f>
        <v>0</v>
      </c>
      <c r="D14" s="203"/>
      <c r="E14" s="38">
        <f>'3b-SalesForecastYrs1-3'!O49</f>
        <v>0</v>
      </c>
      <c r="F14" s="204"/>
      <c r="G14" s="38">
        <f>'3b-SalesForecastYrs1-3'!AD49</f>
        <v>0</v>
      </c>
      <c r="H14" s="203"/>
      <c r="I14" s="43"/>
      <c r="J14" s="43"/>
    </row>
    <row r="15" spans="2:11" x14ac:dyDescent="0.15">
      <c r="B15" s="202" t="str">
        <f>SalesForecastYear1!B61</f>
        <v>Classroom or program 6</v>
      </c>
      <c r="C15" s="38">
        <f>'3b-SalesForecastYrs1-3'!B55</f>
        <v>0</v>
      </c>
      <c r="D15" s="203"/>
      <c r="E15" s="38">
        <f>'3b-SalesForecastYrs1-3'!O55</f>
        <v>0</v>
      </c>
      <c r="F15" s="204"/>
      <c r="G15" s="38">
        <f>'3b-SalesForecastYrs1-3'!AD55</f>
        <v>0</v>
      </c>
      <c r="H15" s="203"/>
      <c r="I15" s="43"/>
      <c r="J15" s="43"/>
    </row>
    <row r="16" spans="2:11" x14ac:dyDescent="0.15">
      <c r="B16" s="202" t="str">
        <f>SalesForecastYear1!B75</f>
        <v>Classroom or program 8</v>
      </c>
      <c r="C16" s="38">
        <f>'3b-SalesForecastYrs1-3'!B61</f>
        <v>0</v>
      </c>
      <c r="D16" s="203"/>
      <c r="E16" s="38">
        <f>'3b-SalesForecastYrs1-3'!O61</f>
        <v>0</v>
      </c>
      <c r="F16" s="204"/>
      <c r="G16" s="38">
        <f>'3b-SalesForecastYrs1-3'!AD61</f>
        <v>0</v>
      </c>
      <c r="H16" s="203"/>
      <c r="I16" s="43"/>
      <c r="J16" s="43"/>
    </row>
    <row r="17" spans="2:10" x14ac:dyDescent="0.15">
      <c r="B17" s="202">
        <f>SalesForecastYear1!B82</f>
        <v>0</v>
      </c>
      <c r="C17" s="38" t="e">
        <f>'3b-SalesForecastYrs1-3'!B67</f>
        <v>#REF!</v>
      </c>
      <c r="D17" s="203"/>
      <c r="E17" s="38" t="e">
        <f>'3b-SalesForecastYrs1-3'!O67</f>
        <v>#REF!</v>
      </c>
      <c r="F17" s="204"/>
      <c r="G17" s="38" t="e">
        <f>'3b-SalesForecastYrs1-3'!AD67</f>
        <v>#REF!</v>
      </c>
      <c r="H17" s="203"/>
      <c r="I17" s="43"/>
      <c r="J17" s="43"/>
    </row>
    <row r="18" spans="2:10" x14ac:dyDescent="0.15">
      <c r="B18" s="200" t="s">
        <v>127</v>
      </c>
      <c r="C18" s="86" t="e">
        <f>SUM(C8:C17)</f>
        <v>#REF!</v>
      </c>
      <c r="D18" s="207">
        <v>1</v>
      </c>
      <c r="E18" s="86" t="e">
        <f>SUM(E8:E17)</f>
        <v>#REF!</v>
      </c>
      <c r="F18" s="208">
        <v>1</v>
      </c>
      <c r="G18" s="86" t="e">
        <f>SUM(G8:G17)</f>
        <v>#REF!</v>
      </c>
      <c r="H18" s="207">
        <v>1</v>
      </c>
      <c r="I18" s="43"/>
      <c r="J18" s="43"/>
    </row>
    <row r="19" spans="2:10" ht="14" thickBot="1" x14ac:dyDescent="0.2">
      <c r="B19" s="326" t="s">
        <v>29</v>
      </c>
      <c r="C19" s="326"/>
      <c r="D19" s="326"/>
      <c r="E19" s="326"/>
      <c r="F19" s="326"/>
      <c r="G19" s="326"/>
      <c r="H19" s="326"/>
      <c r="I19" s="43"/>
      <c r="J19" s="43"/>
    </row>
    <row r="20" spans="2:10" ht="13" thickTop="1" x14ac:dyDescent="0.15">
      <c r="B20" s="331" t="str">
        <f>SalesForecastYear1!B24</f>
        <v>Classroom or program 1</v>
      </c>
      <c r="C20" s="410" t="e">
        <f>'3b-SalesForecastYrs1-3'!B14</f>
        <v>#REF!</v>
      </c>
      <c r="D20" s="332"/>
      <c r="E20" s="410" t="e">
        <f>'3b-SalesForecastYrs1-3'!O14</f>
        <v>#REF!</v>
      </c>
      <c r="F20" s="334"/>
      <c r="G20" s="410" t="e">
        <f>'3b-SalesForecastYrs1-3'!AD14</f>
        <v>#REF!</v>
      </c>
      <c r="H20" s="332"/>
      <c r="I20" s="43"/>
      <c r="J20" s="43"/>
    </row>
    <row r="21" spans="2:10" x14ac:dyDescent="0.15">
      <c r="B21" s="202" t="str">
        <f>SalesForecastYear1!B33</f>
        <v>Classroom or program 2</v>
      </c>
      <c r="C21" s="38" t="e">
        <f>'3b-SalesForecastYrs1-3'!B20</f>
        <v>#REF!</v>
      </c>
      <c r="D21" s="203"/>
      <c r="E21" s="38" t="e">
        <f>'3b-SalesForecastYrs1-3'!O20</f>
        <v>#REF!</v>
      </c>
      <c r="F21" s="211"/>
      <c r="G21" s="38" t="e">
        <f>'3b-SalesForecastYrs1-3'!AD20</f>
        <v>#REF!</v>
      </c>
      <c r="H21" s="203"/>
      <c r="I21" s="43"/>
      <c r="J21" s="43"/>
    </row>
    <row r="22" spans="2:10" x14ac:dyDescent="0.15">
      <c r="B22" s="185" t="str">
        <f>SalesForecastYear1!B40</f>
        <v>Classroom or program 3</v>
      </c>
      <c r="C22" s="38" t="e">
        <f>'3b-SalesForecastYrs1-3'!B26</f>
        <v>#REF!</v>
      </c>
      <c r="D22" s="203"/>
      <c r="E22" s="38" t="e">
        <f>'3b-SalesForecastYrs1-3'!O26</f>
        <v>#VALUE!</v>
      </c>
      <c r="F22" s="211"/>
      <c r="G22" s="38" t="e">
        <f>'3b-SalesForecastYrs1-3'!AD26</f>
        <v>#VALUE!</v>
      </c>
      <c r="H22" s="203"/>
      <c r="I22" s="43"/>
      <c r="J22" s="43"/>
    </row>
    <row r="23" spans="2:10" x14ac:dyDescent="0.15">
      <c r="B23" s="202" t="str">
        <f>SalesForecastYear1!B47</f>
        <v>Classroom or program 4</v>
      </c>
      <c r="C23" s="38" t="e">
        <f>'3b-SalesForecastYrs1-3'!B32</f>
        <v>#REF!</v>
      </c>
      <c r="D23" s="203"/>
      <c r="E23" s="38" t="e">
        <f>'3b-SalesForecastYrs1-3'!O32</f>
        <v>#REF!</v>
      </c>
      <c r="F23" s="211"/>
      <c r="G23" s="38" t="e">
        <f>'3b-SalesForecastYrs1-3'!AD32</f>
        <v>#REF!</v>
      </c>
      <c r="H23" s="203"/>
      <c r="I23" s="43"/>
      <c r="J23" s="43"/>
    </row>
    <row r="24" spans="2:10" x14ac:dyDescent="0.15">
      <c r="B24" s="202" t="str">
        <f>SalesForecastYear1!B54</f>
        <v>Classroom or program 5</v>
      </c>
      <c r="C24" s="38" t="e">
        <f>'3b-SalesForecastYrs1-3'!B38</f>
        <v>#REF!</v>
      </c>
      <c r="D24" s="203"/>
      <c r="E24" s="38" t="e">
        <f>'3b-SalesForecastYrs1-3'!O38</f>
        <v>#REF!</v>
      </c>
      <c r="F24" s="211"/>
      <c r="G24" s="38" t="e">
        <f>'3b-SalesForecastYrs1-3'!AD38</f>
        <v>#REF!</v>
      </c>
      <c r="H24" s="203"/>
      <c r="I24" s="43"/>
      <c r="J24" s="43"/>
    </row>
    <row r="25" spans="2:10" x14ac:dyDescent="0.15">
      <c r="B25" s="202" t="e">
        <f>SalesForecastYear1!#REF!</f>
        <v>#REF!</v>
      </c>
      <c r="C25" s="38" t="e">
        <f>'3b-SalesForecastYrs1-3'!B44</f>
        <v>#REF!</v>
      </c>
      <c r="D25" s="203"/>
      <c r="E25" s="38" t="e">
        <f>'3b-SalesForecastYrs1-3'!O44</f>
        <v>#REF!</v>
      </c>
      <c r="F25" s="211"/>
      <c r="G25" s="38" t="e">
        <f>'3b-SalesForecastYrs1-3'!AD44</f>
        <v>#REF!</v>
      </c>
      <c r="H25" s="203"/>
      <c r="I25" s="43"/>
      <c r="J25" s="43"/>
    </row>
    <row r="26" spans="2:10" x14ac:dyDescent="0.15">
      <c r="B26" s="202" t="str">
        <f>SalesForecastYear1!B68</f>
        <v>Classroom or program 7</v>
      </c>
      <c r="C26" s="38" t="e">
        <f>'3b-SalesForecastYrs1-3'!B50</f>
        <v>#REF!</v>
      </c>
      <c r="D26" s="203"/>
      <c r="E26" s="38" t="e">
        <f>'3b-SalesForecastYrs1-3'!O50</f>
        <v>#REF!</v>
      </c>
      <c r="F26" s="211"/>
      <c r="G26" s="38" t="e">
        <f>'3b-SalesForecastYrs1-3'!AD50</f>
        <v>#REF!</v>
      </c>
      <c r="H26" s="203"/>
      <c r="I26" s="43"/>
      <c r="J26" s="43"/>
    </row>
    <row r="27" spans="2:10" x14ac:dyDescent="0.15">
      <c r="B27" s="202" t="str">
        <f>SalesForecastYear1!B61</f>
        <v>Classroom or program 6</v>
      </c>
      <c r="C27" s="38" t="e">
        <f>'3b-SalesForecastYrs1-3'!B56</f>
        <v>#REF!</v>
      </c>
      <c r="D27" s="203"/>
      <c r="E27" s="38" t="e">
        <f>'3b-SalesForecastYrs1-3'!O56</f>
        <v>#REF!</v>
      </c>
      <c r="F27" s="211"/>
      <c r="G27" s="38" t="e">
        <f>'3b-SalesForecastYrs1-3'!AD56</f>
        <v>#REF!</v>
      </c>
      <c r="H27" s="203"/>
      <c r="I27" s="43"/>
      <c r="J27" s="43"/>
    </row>
    <row r="28" spans="2:10" x14ac:dyDescent="0.15">
      <c r="B28" s="202" t="str">
        <f>SalesForecastYear1!B75</f>
        <v>Classroom or program 8</v>
      </c>
      <c r="C28" s="38" t="e">
        <f>'3b-SalesForecastYrs1-3'!B62</f>
        <v>#REF!</v>
      </c>
      <c r="D28" s="203"/>
      <c r="E28" s="38" t="e">
        <f>'3b-SalesForecastYrs1-3'!O62</f>
        <v>#REF!</v>
      </c>
      <c r="F28" s="211"/>
      <c r="G28" s="38" t="e">
        <f>'3b-SalesForecastYrs1-3'!AD62</f>
        <v>#REF!</v>
      </c>
      <c r="H28" s="203"/>
      <c r="I28" s="43"/>
      <c r="J28" s="43"/>
    </row>
    <row r="29" spans="2:10" x14ac:dyDescent="0.15">
      <c r="B29" s="202">
        <f>SalesForecastYear1!B82</f>
        <v>0</v>
      </c>
      <c r="C29" s="38" t="e">
        <f>'3b-SalesForecastYrs1-3'!B68</f>
        <v>#REF!</v>
      </c>
      <c r="D29" s="203"/>
      <c r="E29" s="38" t="e">
        <f>'3b-SalesForecastYrs1-3'!O68</f>
        <v>#REF!</v>
      </c>
      <c r="F29" s="211"/>
      <c r="G29" s="38" t="e">
        <f>'3b-SalesForecastYrs1-3'!AD68</f>
        <v>#REF!</v>
      </c>
      <c r="H29" s="203"/>
      <c r="I29" s="43"/>
      <c r="J29" s="43"/>
    </row>
    <row r="30" spans="2:10" x14ac:dyDescent="0.15">
      <c r="B30" s="200" t="s">
        <v>102</v>
      </c>
      <c r="C30" s="299" t="e">
        <f>SUM(C20:C29)</f>
        <v>#REF!</v>
      </c>
      <c r="D30" s="201" t="e">
        <f>IF(C18=0,0,C30/C18)</f>
        <v>#REF!</v>
      </c>
      <c r="E30" s="299" t="e">
        <f>SUM(E20:E29)</f>
        <v>#REF!</v>
      </c>
      <c r="F30" s="201" t="e">
        <f>IF(E18=0,0,E30/E18)</f>
        <v>#REF!</v>
      </c>
      <c r="G30" s="299" t="e">
        <f>SUM(G20:G29)</f>
        <v>#REF!</v>
      </c>
      <c r="H30" s="201" t="e">
        <f>IF(G18=0,0,G30/G18)</f>
        <v>#REF!</v>
      </c>
      <c r="I30" s="43"/>
      <c r="J30" s="43"/>
    </row>
    <row r="31" spans="2:10" x14ac:dyDescent="0.15">
      <c r="B31" s="200" t="s">
        <v>124</v>
      </c>
      <c r="C31" s="28" t="e">
        <f>C18-C30</f>
        <v>#REF!</v>
      </c>
      <c r="D31" s="201"/>
      <c r="E31" s="28" t="e">
        <f>E18-E30</f>
        <v>#REF!</v>
      </c>
      <c r="F31" s="211"/>
      <c r="G31" s="28" t="e">
        <f>G18-G30</f>
        <v>#REF!</v>
      </c>
      <c r="H31" s="203"/>
      <c r="I31" s="43"/>
      <c r="J31" s="43"/>
    </row>
    <row r="32" spans="2:10" x14ac:dyDescent="0.15">
      <c r="B32" s="200" t="s">
        <v>202</v>
      </c>
      <c r="C32" s="28">
        <f>'2a-PayrollYear1'!R25</f>
        <v>0</v>
      </c>
      <c r="D32" s="201"/>
      <c r="E32" s="28">
        <f>'2b-PayrollYrs1-3'!E26</f>
        <v>0</v>
      </c>
      <c r="F32" s="211"/>
      <c r="G32" s="28">
        <f>'2b-PayrollYrs1-3'!G26</f>
        <v>0</v>
      </c>
      <c r="H32" s="203"/>
      <c r="I32" s="43"/>
      <c r="J32" s="43"/>
    </row>
    <row r="33" spans="2:10" ht="14" thickBot="1" x14ac:dyDescent="0.2">
      <c r="B33" s="326" t="s">
        <v>125</v>
      </c>
      <c r="C33" s="326"/>
      <c r="D33" s="326"/>
      <c r="E33" s="326"/>
      <c r="F33" s="326"/>
      <c r="G33" s="326"/>
      <c r="H33" s="326"/>
      <c r="I33" s="43"/>
      <c r="J33" s="43"/>
    </row>
    <row r="34" spans="2:10" s="5" customFormat="1" ht="13" thickTop="1" x14ac:dyDescent="0.15">
      <c r="B34" s="335" t="s">
        <v>14</v>
      </c>
      <c r="C34" s="157">
        <f>'5b-OpExYrs1-3'!C8</f>
        <v>0</v>
      </c>
      <c r="D34" s="336"/>
      <c r="E34" s="157">
        <f>'5b-OpExYrs1-3'!E8</f>
        <v>0</v>
      </c>
      <c r="F34" s="337"/>
      <c r="G34" s="157">
        <f>'5b-OpExYrs1-3'!G8</f>
        <v>0</v>
      </c>
      <c r="H34" s="336"/>
    </row>
    <row r="35" spans="2:10" s="5" customFormat="1" x14ac:dyDescent="0.15">
      <c r="B35" s="301" t="s">
        <v>136</v>
      </c>
      <c r="C35" s="79">
        <f>'5b-OpExYrs1-3'!C9</f>
        <v>0</v>
      </c>
      <c r="D35" s="205"/>
      <c r="E35" s="79">
        <f>'5b-OpExYrs1-3'!E9</f>
        <v>0</v>
      </c>
      <c r="F35" s="210"/>
      <c r="G35" s="79">
        <f>'5b-OpExYrs1-3'!G9</f>
        <v>0</v>
      </c>
      <c r="H35" s="205"/>
    </row>
    <row r="36" spans="2:10" s="5" customFormat="1" x14ac:dyDescent="0.15">
      <c r="B36" s="301" t="s">
        <v>137</v>
      </c>
      <c r="C36" s="79">
        <f>'5b-OpExYrs1-3'!C10</f>
        <v>0</v>
      </c>
      <c r="D36" s="205"/>
      <c r="E36" s="79">
        <f>'5b-OpExYrs1-3'!E10</f>
        <v>0</v>
      </c>
      <c r="F36" s="210"/>
      <c r="G36" s="79">
        <f>'5b-OpExYrs1-3'!G10</f>
        <v>0</v>
      </c>
      <c r="H36" s="205"/>
    </row>
    <row r="37" spans="2:10" s="5" customFormat="1" x14ac:dyDescent="0.15">
      <c r="B37" s="301" t="s">
        <v>138</v>
      </c>
      <c r="C37" s="79">
        <f>'5b-OpExYrs1-3'!C11</f>
        <v>0</v>
      </c>
      <c r="D37" s="205"/>
      <c r="E37" s="79">
        <f>'5b-OpExYrs1-3'!E11</f>
        <v>0</v>
      </c>
      <c r="F37" s="210"/>
      <c r="G37" s="79">
        <f>'5b-OpExYrs1-3'!G11</f>
        <v>0</v>
      </c>
      <c r="H37" s="205"/>
    </row>
    <row r="38" spans="2:10" s="5" customFormat="1" x14ac:dyDescent="0.15">
      <c r="B38" s="301" t="s">
        <v>151</v>
      </c>
      <c r="C38" s="79">
        <f>'5b-OpExYrs1-3'!C12</f>
        <v>0</v>
      </c>
      <c r="D38" s="205"/>
      <c r="E38" s="79">
        <f>'5b-OpExYrs1-3'!E12</f>
        <v>0</v>
      </c>
      <c r="F38" s="210"/>
      <c r="G38" s="79">
        <f>'5b-OpExYrs1-3'!G12</f>
        <v>0</v>
      </c>
      <c r="H38" s="205"/>
    </row>
    <row r="39" spans="2:10" x14ac:dyDescent="0.15">
      <c r="B39" s="301" t="s">
        <v>141</v>
      </c>
      <c r="C39" s="79">
        <f>'5b-OpExYrs1-3'!C13</f>
        <v>0</v>
      </c>
      <c r="D39" s="205"/>
      <c r="E39" s="79">
        <f>'5b-OpExYrs1-3'!E13</f>
        <v>0</v>
      </c>
      <c r="F39" s="210"/>
      <c r="G39" s="79">
        <f>'5b-OpExYrs1-3'!G13</f>
        <v>0</v>
      </c>
      <c r="H39" s="205"/>
      <c r="I39" s="43"/>
      <c r="J39" s="43"/>
    </row>
    <row r="40" spans="2:10" x14ac:dyDescent="0.15">
      <c r="B40" s="301" t="s">
        <v>6</v>
      </c>
      <c r="C40" s="79">
        <f>'5b-OpExYrs1-3'!C14</f>
        <v>0</v>
      </c>
      <c r="D40" s="205"/>
      <c r="E40" s="79">
        <f>'5b-OpExYrs1-3'!E14</f>
        <v>0</v>
      </c>
      <c r="F40" s="210"/>
      <c r="G40" s="79">
        <f>'5b-OpExYrs1-3'!G14</f>
        <v>0</v>
      </c>
      <c r="H40" s="205"/>
      <c r="I40" s="43"/>
      <c r="J40" s="43"/>
    </row>
    <row r="41" spans="2:10" x14ac:dyDescent="0.15">
      <c r="B41" s="301" t="s">
        <v>142</v>
      </c>
      <c r="C41" s="79">
        <f>'5b-OpExYrs1-3'!C15</f>
        <v>0</v>
      </c>
      <c r="D41" s="205"/>
      <c r="E41" s="79">
        <f>'5b-OpExYrs1-3'!E15</f>
        <v>0</v>
      </c>
      <c r="F41" s="210"/>
      <c r="G41" s="79">
        <f>'5b-OpExYrs1-3'!G15</f>
        <v>0</v>
      </c>
      <c r="H41" s="205"/>
      <c r="I41" s="43"/>
      <c r="J41" s="43"/>
    </row>
    <row r="42" spans="2:10" x14ac:dyDescent="0.15">
      <c r="B42" s="301" t="s">
        <v>143</v>
      </c>
      <c r="C42" s="79">
        <f>'5b-OpExYrs1-3'!C16</f>
        <v>0</v>
      </c>
      <c r="D42" s="205"/>
      <c r="E42" s="79">
        <f>'5b-OpExYrs1-3'!E16</f>
        <v>0</v>
      </c>
      <c r="F42" s="210"/>
      <c r="G42" s="79">
        <f>'5b-OpExYrs1-3'!G16</f>
        <v>0</v>
      </c>
      <c r="H42" s="205"/>
      <c r="I42" s="43"/>
      <c r="J42" s="43"/>
    </row>
    <row r="43" spans="2:10" x14ac:dyDescent="0.15">
      <c r="B43" s="301" t="s">
        <v>144</v>
      </c>
      <c r="C43" s="79">
        <f>'5b-OpExYrs1-3'!C17</f>
        <v>0</v>
      </c>
      <c r="D43" s="205"/>
      <c r="E43" s="79">
        <f>'5b-OpExYrs1-3'!E17</f>
        <v>0</v>
      </c>
      <c r="F43" s="210"/>
      <c r="G43" s="79">
        <f>'5b-OpExYrs1-3'!G17</f>
        <v>0</v>
      </c>
      <c r="H43" s="205"/>
      <c r="I43" s="43"/>
      <c r="J43" s="43"/>
    </row>
    <row r="44" spans="2:10" x14ac:dyDescent="0.15">
      <c r="B44" s="301" t="s">
        <v>145</v>
      </c>
      <c r="C44" s="79">
        <f>'5b-OpExYrs1-3'!C18</f>
        <v>0</v>
      </c>
      <c r="D44" s="205"/>
      <c r="E44" s="79">
        <f>'5b-OpExYrs1-3'!E18</f>
        <v>0</v>
      </c>
      <c r="F44" s="210"/>
      <c r="G44" s="79">
        <f>'5b-OpExYrs1-3'!G18</f>
        <v>0</v>
      </c>
      <c r="H44" s="205"/>
      <c r="I44" s="43"/>
      <c r="J44" s="43"/>
    </row>
    <row r="45" spans="2:10" x14ac:dyDescent="0.15">
      <c r="B45" s="301" t="s">
        <v>5</v>
      </c>
      <c r="C45" s="79">
        <f>'5b-OpExYrs1-3'!C19</f>
        <v>0</v>
      </c>
      <c r="D45" s="205"/>
      <c r="E45" s="79">
        <f>'5b-OpExYrs1-3'!E19</f>
        <v>0</v>
      </c>
      <c r="F45" s="210"/>
      <c r="G45" s="79">
        <f>'5b-OpExYrs1-3'!G19</f>
        <v>0</v>
      </c>
      <c r="H45" s="205"/>
      <c r="I45" s="43"/>
      <c r="J45" s="43"/>
    </row>
    <row r="46" spans="2:10" x14ac:dyDescent="0.15">
      <c r="B46" s="301" t="s">
        <v>146</v>
      </c>
      <c r="C46" s="79">
        <f>'5b-OpExYrs1-3'!C20</f>
        <v>0</v>
      </c>
      <c r="D46" s="205"/>
      <c r="E46" s="79">
        <f>'5b-OpExYrs1-3'!E20</f>
        <v>0</v>
      </c>
      <c r="F46" s="210"/>
      <c r="G46" s="79">
        <f>'5b-OpExYrs1-3'!G20</f>
        <v>0</v>
      </c>
      <c r="H46" s="205"/>
      <c r="I46" s="43"/>
      <c r="J46" s="43"/>
    </row>
    <row r="47" spans="2:10" x14ac:dyDescent="0.15">
      <c r="B47" s="301" t="s">
        <v>15</v>
      </c>
      <c r="C47" s="79">
        <f>'5b-OpExYrs1-3'!C21</f>
        <v>0</v>
      </c>
      <c r="D47" s="205"/>
      <c r="E47" s="79">
        <f>'5b-OpExYrs1-3'!E21</f>
        <v>0</v>
      </c>
      <c r="F47" s="210"/>
      <c r="G47" s="79">
        <f>'5b-OpExYrs1-3'!G21</f>
        <v>0</v>
      </c>
      <c r="H47" s="205"/>
      <c r="I47" s="43"/>
      <c r="J47" s="43"/>
    </row>
    <row r="48" spans="2:10" x14ac:dyDescent="0.15">
      <c r="B48" s="301" t="s">
        <v>206</v>
      </c>
      <c r="C48" s="79">
        <f>'5b-OpExYrs1-3'!C22</f>
        <v>0</v>
      </c>
      <c r="D48" s="205"/>
      <c r="E48" s="79">
        <f>'5b-OpExYrs1-3'!E22</f>
        <v>0</v>
      </c>
      <c r="F48" s="210"/>
      <c r="G48" s="79">
        <f>'5b-OpExYrs1-3'!G22</f>
        <v>0</v>
      </c>
      <c r="H48" s="205"/>
      <c r="I48" s="43"/>
      <c r="J48" s="43"/>
    </row>
    <row r="49" spans="2:10" x14ac:dyDescent="0.15">
      <c r="B49" s="301" t="s">
        <v>258</v>
      </c>
      <c r="C49" s="79"/>
      <c r="D49" s="205"/>
      <c r="E49" s="79"/>
      <c r="F49" s="210"/>
      <c r="G49" s="79"/>
      <c r="H49" s="205"/>
      <c r="I49" s="43"/>
      <c r="J49" s="43"/>
    </row>
    <row r="50" spans="2:10" x14ac:dyDescent="0.15">
      <c r="B50" s="301" t="s">
        <v>259</v>
      </c>
      <c r="C50" s="79"/>
      <c r="D50" s="205"/>
      <c r="E50" s="79"/>
      <c r="F50" s="210"/>
      <c r="G50" s="79"/>
      <c r="H50" s="205"/>
      <c r="I50" s="43"/>
      <c r="J50" s="43"/>
    </row>
    <row r="51" spans="2:10" ht="18" customHeight="1" x14ac:dyDescent="0.15">
      <c r="B51" s="338" t="s">
        <v>212</v>
      </c>
      <c r="C51" s="339">
        <f>SUM(C34:C50)</f>
        <v>0</v>
      </c>
      <c r="D51" s="340" t="e">
        <f>IF(C18=0,0,C51/C18)</f>
        <v>#REF!</v>
      </c>
      <c r="E51" s="339">
        <f>SUM(E34:E50)</f>
        <v>0</v>
      </c>
      <c r="F51" s="340" t="e">
        <f>IF(E18=0,0,E51/E18)</f>
        <v>#REF!</v>
      </c>
      <c r="G51" s="339">
        <f>SUM(G34:G50)</f>
        <v>0</v>
      </c>
      <c r="H51" s="340" t="e">
        <f>IF(G18=0,0,G51/G18)</f>
        <v>#REF!</v>
      </c>
    </row>
    <row r="52" spans="2:10" ht="18" customHeight="1" x14ac:dyDescent="0.15">
      <c r="B52" s="341" t="s">
        <v>328</v>
      </c>
      <c r="C52" s="342" t="e">
        <f>C31-C32-C51</f>
        <v>#REF!</v>
      </c>
      <c r="D52" s="343" t="e">
        <f>IF(C18=0,0,C52/C18)</f>
        <v>#REF!</v>
      </c>
      <c r="E52" s="342" t="e">
        <f>E31-E32-E51</f>
        <v>#REF!</v>
      </c>
      <c r="F52" s="343" t="e">
        <f>IF(E18=0,0,E52/E18)</f>
        <v>#REF!</v>
      </c>
      <c r="G52" s="342" t="e">
        <f>G31-G32-G51</f>
        <v>#REF!</v>
      </c>
      <c r="H52" s="343" t="e">
        <f>IF(G18=0,0,G52/G18)</f>
        <v>#REF!</v>
      </c>
    </row>
    <row r="53" spans="2:10" ht="18" customHeight="1" thickBot="1" x14ac:dyDescent="0.2">
      <c r="B53" s="345" t="s">
        <v>131</v>
      </c>
      <c r="C53" s="346"/>
      <c r="D53" s="347"/>
      <c r="E53" s="346"/>
      <c r="F53" s="348"/>
      <c r="G53" s="346"/>
      <c r="H53" s="347"/>
    </row>
    <row r="54" spans="2:10" ht="18" customHeight="1" thickTop="1" x14ac:dyDescent="0.15">
      <c r="B54" s="344" t="s">
        <v>276</v>
      </c>
      <c r="C54" s="325">
        <f>+'Amortization&amp;Depreciation'!O138+'Amortization&amp;Depreciation'!O149</f>
        <v>0</v>
      </c>
      <c r="D54" s="332"/>
      <c r="E54" s="325">
        <f>+'Amortization&amp;Depreciation'!O141+'Amortization&amp;Depreciation'!O152</f>
        <v>0</v>
      </c>
      <c r="F54" s="334"/>
      <c r="G54" s="325">
        <f>+'Amortization&amp;Depreciation'!O144+'Amortization&amp;Depreciation'!O155</f>
        <v>0</v>
      </c>
      <c r="H54" s="332"/>
    </row>
    <row r="55" spans="2:10" ht="18" customHeight="1" x14ac:dyDescent="0.15">
      <c r="B55" s="213" t="s">
        <v>31</v>
      </c>
      <c r="C55" s="28">
        <f>+'Amortization&amp;Depreciation'!O119</f>
        <v>0</v>
      </c>
      <c r="D55" s="203"/>
      <c r="E55" s="28">
        <f>+'Amortization&amp;Depreciation'!O123</f>
        <v>0</v>
      </c>
      <c r="F55" s="211"/>
      <c r="G55" s="28">
        <f>+'Amortization&amp;Depreciation'!O127</f>
        <v>0</v>
      </c>
      <c r="H55" s="203"/>
    </row>
    <row r="56" spans="2:10" ht="18" customHeight="1" x14ac:dyDescent="0.15">
      <c r="B56" s="213" t="s">
        <v>58</v>
      </c>
      <c r="C56" s="212"/>
      <c r="D56" s="203"/>
      <c r="E56" s="212"/>
      <c r="F56" s="211"/>
      <c r="G56" s="212"/>
      <c r="H56" s="203"/>
    </row>
    <row r="57" spans="2:10" ht="18" customHeight="1" x14ac:dyDescent="0.15">
      <c r="B57" s="214" t="s">
        <v>54</v>
      </c>
      <c r="C57" s="28">
        <f>'5b-OpExYrs1-3'!C28</f>
        <v>0</v>
      </c>
      <c r="D57" s="203"/>
      <c r="E57" s="28">
        <f>'5b-OpExYrs1-3'!E28</f>
        <v>0</v>
      </c>
      <c r="F57" s="211"/>
      <c r="G57" s="28">
        <f>'5b-OpExYrs1-3'!G28</f>
        <v>0</v>
      </c>
      <c r="H57" s="203"/>
    </row>
    <row r="58" spans="2:10" ht="18" customHeight="1" x14ac:dyDescent="0.15">
      <c r="B58" s="214" t="s">
        <v>55</v>
      </c>
      <c r="C58" s="28" t="e">
        <f>'5b-OpExYrs1-3'!C29</f>
        <v>#NUM!</v>
      </c>
      <c r="D58" s="203"/>
      <c r="E58" s="28">
        <f>'5b-OpExYrs1-3'!E29</f>
        <v>0</v>
      </c>
      <c r="F58" s="211"/>
      <c r="G58" s="28">
        <f>'5b-OpExYrs1-3'!G29</f>
        <v>0</v>
      </c>
      <c r="H58" s="203"/>
    </row>
    <row r="59" spans="2:10" ht="18" customHeight="1" x14ac:dyDescent="0.15">
      <c r="B59" s="214" t="s">
        <v>133</v>
      </c>
      <c r="C59" s="28" t="e">
        <f>'5b-OpExYrs1-3'!C30</f>
        <v>#NUM!</v>
      </c>
      <c r="D59" s="203"/>
      <c r="E59" s="28">
        <f>'5b-OpExYrs1-3'!E30</f>
        <v>0</v>
      </c>
      <c r="F59" s="211"/>
      <c r="G59" s="28">
        <f>'5b-OpExYrs1-3'!G30</f>
        <v>0</v>
      </c>
      <c r="H59" s="203"/>
    </row>
    <row r="60" spans="2:10" ht="18" customHeight="1" x14ac:dyDescent="0.15">
      <c r="B60" s="214" t="s">
        <v>134</v>
      </c>
      <c r="C60" s="28" t="e">
        <f>'5b-OpExYrs1-3'!C31</f>
        <v>#NUM!</v>
      </c>
      <c r="D60" s="203"/>
      <c r="E60" s="28">
        <f>'5b-OpExYrs1-3'!E31</f>
        <v>0</v>
      </c>
      <c r="F60" s="211"/>
      <c r="G60" s="28">
        <f>'5b-OpExYrs1-3'!G31</f>
        <v>0</v>
      </c>
      <c r="H60" s="203"/>
    </row>
    <row r="61" spans="2:10" ht="18" customHeight="1" x14ac:dyDescent="0.15">
      <c r="B61" s="214" t="s">
        <v>135</v>
      </c>
      <c r="C61" s="28" t="e">
        <f>'5b-OpExYrs1-3'!C32</f>
        <v>#NUM!</v>
      </c>
      <c r="D61" s="203"/>
      <c r="E61" s="28">
        <f>'5b-OpExYrs1-3'!E32</f>
        <v>0</v>
      </c>
      <c r="F61" s="211"/>
      <c r="G61" s="28">
        <f>'5b-OpExYrs1-3'!G32</f>
        <v>0</v>
      </c>
      <c r="H61" s="203"/>
    </row>
    <row r="62" spans="2:10" ht="18" customHeight="1" x14ac:dyDescent="0.15">
      <c r="B62" s="178" t="s">
        <v>268</v>
      </c>
      <c r="C62" s="28" t="e">
        <f>+'6a-CashFlowYear1'!O26</f>
        <v>#DIV/0!</v>
      </c>
      <c r="D62" s="203"/>
      <c r="E62" s="28" t="e">
        <f>'6b-CashFlowYrs1-3'!O25</f>
        <v>#DIV/0!</v>
      </c>
      <c r="F62" s="211"/>
      <c r="G62" s="28" t="e">
        <f>+'6b-CashFlowYrs1-3'!AB25</f>
        <v>#DIV/0!</v>
      </c>
      <c r="H62" s="203"/>
    </row>
    <row r="63" spans="2:10" ht="18" customHeight="1" x14ac:dyDescent="0.15">
      <c r="B63" s="176" t="s">
        <v>267</v>
      </c>
      <c r="C63" s="28" t="e">
        <f>+SalesForecastYear1!O122*'4-AdditionalInputs'!$C$12</f>
        <v>#DIV/0!</v>
      </c>
      <c r="D63" s="203"/>
      <c r="E63" s="28" t="e">
        <f>'3b-SalesForecastYrs1-3'!O71*'4-AdditionalInputs'!$D$12</f>
        <v>#REF!</v>
      </c>
      <c r="F63" s="211"/>
      <c r="G63" s="28" t="e">
        <f>'3b-SalesForecastYrs1-3'!AD71*'4-AdditionalInputs'!$E$12</f>
        <v>#REF!</v>
      </c>
      <c r="H63" s="203"/>
    </row>
    <row r="64" spans="2:10" ht="18" customHeight="1" x14ac:dyDescent="0.15">
      <c r="B64" s="200" t="s">
        <v>148</v>
      </c>
      <c r="C64" s="34" t="e">
        <f>SUM(C54:C63)</f>
        <v>#NUM!</v>
      </c>
      <c r="D64" s="201" t="e">
        <f>IF(C18=0,0,C64/C18)</f>
        <v>#REF!</v>
      </c>
      <c r="E64" s="34" t="e">
        <f>SUM(E54:E63)</f>
        <v>#DIV/0!</v>
      </c>
      <c r="F64" s="201" t="e">
        <f>IF(E18=0,0,E64/E18)</f>
        <v>#REF!</v>
      </c>
      <c r="G64" s="34" t="e">
        <f>SUM(G54:G63)</f>
        <v>#DIV/0!</v>
      </c>
      <c r="H64" s="201" t="e">
        <f>IF(G18=0,0,G64/G18)</f>
        <v>#REF!</v>
      </c>
    </row>
    <row r="65" spans="1:19" ht="18" customHeight="1" x14ac:dyDescent="0.15">
      <c r="B65" s="44" t="s">
        <v>220</v>
      </c>
      <c r="C65" s="34" t="e">
        <f>C31-C32-C51-C64</f>
        <v>#REF!</v>
      </c>
      <c r="D65" s="201"/>
      <c r="E65" s="34" t="e">
        <f>E31-E32-E51-E64</f>
        <v>#REF!</v>
      </c>
      <c r="F65" s="106"/>
      <c r="G65" s="34" t="e">
        <f>G31-G32-G51-G64</f>
        <v>#REF!</v>
      </c>
      <c r="H65" s="201"/>
    </row>
    <row r="66" spans="1:19" x14ac:dyDescent="0.15">
      <c r="B66" s="24" t="s">
        <v>221</v>
      </c>
      <c r="C66" s="57" t="e">
        <f>+'7a-IncomeStatementYear1'!O67</f>
        <v>#REF!</v>
      </c>
      <c r="D66" s="203"/>
      <c r="E66" s="57" t="e">
        <f>O73</f>
        <v>#REF!</v>
      </c>
      <c r="F66" s="211"/>
      <c r="G66" s="57" t="e">
        <f>O77</f>
        <v>#REF!</v>
      </c>
      <c r="H66" s="211"/>
    </row>
    <row r="67" spans="1:19" x14ac:dyDescent="0.15">
      <c r="B67" s="200" t="s">
        <v>126</v>
      </c>
      <c r="C67" s="34" t="e">
        <f>C65-C66</f>
        <v>#REF!</v>
      </c>
      <c r="D67" s="201"/>
      <c r="E67" s="34" t="e">
        <f>E65-E66</f>
        <v>#REF!</v>
      </c>
      <c r="F67" s="106"/>
      <c r="G67" s="34" t="e">
        <f>G65-G66</f>
        <v>#REF!</v>
      </c>
      <c r="H67" s="203"/>
    </row>
    <row r="68" spans="1:19" x14ac:dyDescent="0.15">
      <c r="Q68" s="5"/>
    </row>
    <row r="69" spans="1:19" x14ac:dyDescent="0.15">
      <c r="A69" s="417"/>
      <c r="B69" s="417"/>
      <c r="C69" s="417"/>
      <c r="D69" s="426"/>
      <c r="E69" s="417"/>
      <c r="F69" s="427"/>
      <c r="G69" s="417"/>
      <c r="H69" s="426"/>
      <c r="I69" s="417"/>
      <c r="J69" s="417"/>
      <c r="K69" s="417"/>
      <c r="L69" s="417"/>
      <c r="M69" s="417"/>
      <c r="N69" s="417"/>
      <c r="O69" s="417"/>
      <c r="P69" s="417"/>
      <c r="Q69" s="5"/>
    </row>
    <row r="70" spans="1:19" x14ac:dyDescent="0.15">
      <c r="A70" s="417"/>
      <c r="B70" s="428" t="s">
        <v>283</v>
      </c>
      <c r="C70" s="428" t="s">
        <v>296</v>
      </c>
      <c r="D70" s="429" t="s">
        <v>297</v>
      </c>
      <c r="E70" s="428" t="s">
        <v>298</v>
      </c>
      <c r="F70" s="429" t="s">
        <v>299</v>
      </c>
      <c r="G70" s="428" t="s">
        <v>300</v>
      </c>
      <c r="H70" s="429" t="s">
        <v>301</v>
      </c>
      <c r="I70" s="428" t="s">
        <v>302</v>
      </c>
      <c r="J70" s="429" t="s">
        <v>303</v>
      </c>
      <c r="K70" s="428" t="s">
        <v>304</v>
      </c>
      <c r="L70" s="429" t="s">
        <v>305</v>
      </c>
      <c r="M70" s="428" t="s">
        <v>306</v>
      </c>
      <c r="N70" s="429" t="s">
        <v>307</v>
      </c>
      <c r="O70" s="428" t="s">
        <v>308</v>
      </c>
      <c r="P70" s="417"/>
      <c r="Q70" s="5"/>
    </row>
    <row r="71" spans="1:19" x14ac:dyDescent="0.15">
      <c r="A71" s="417"/>
      <c r="B71" s="419" t="s">
        <v>326</v>
      </c>
      <c r="C71" s="420" t="e">
        <f>'3b-SalesForecastYrs1-3'!C73-('2b-PayrollYrs1-3'!$E$26/12)-'6b-CashFlowYrs1-3'!C19-'Amortization&amp;Depreciation'!C123-'Amortization&amp;Depreciation'!C39-'Amortization&amp;Depreciation'!C19-'6b-CashFlowYrs1-3'!C25</f>
        <v>#REF!</v>
      </c>
      <c r="D71" s="420" t="e">
        <f>'3b-SalesForecastYrs1-3'!D73-('2b-PayrollYrs1-3'!$E$26/12)-'6b-CashFlowYrs1-3'!D19-'Amortization&amp;Depreciation'!D123-'Amortization&amp;Depreciation'!D39-'Amortization&amp;Depreciation'!D19-'6b-CashFlowYrs1-3'!D25</f>
        <v>#REF!</v>
      </c>
      <c r="E71" s="420" t="e">
        <f>'3b-SalesForecastYrs1-3'!E73-('2b-PayrollYrs1-3'!$E$26/12)-'6b-CashFlowYrs1-3'!E19-'Amortization&amp;Depreciation'!E123-'Amortization&amp;Depreciation'!E39-'Amortization&amp;Depreciation'!E19-'6b-CashFlowYrs1-3'!E25</f>
        <v>#REF!</v>
      </c>
      <c r="F71" s="420" t="e">
        <f>'3b-SalesForecastYrs1-3'!F73-('2b-PayrollYrs1-3'!$E$26/12)-'6b-CashFlowYrs1-3'!F19-'Amortization&amp;Depreciation'!F123-'Amortization&amp;Depreciation'!F39-'Amortization&amp;Depreciation'!F19-'6b-CashFlowYrs1-3'!F25</f>
        <v>#REF!</v>
      </c>
      <c r="G71" s="420" t="e">
        <f>'3b-SalesForecastYrs1-3'!G73-('2b-PayrollYrs1-3'!$E$26/12)-'6b-CashFlowYrs1-3'!G19-'Amortization&amp;Depreciation'!G123-'Amortization&amp;Depreciation'!G39-'Amortization&amp;Depreciation'!G19-'6b-CashFlowYrs1-3'!G25</f>
        <v>#REF!</v>
      </c>
      <c r="H71" s="420" t="e">
        <f>'3b-SalesForecastYrs1-3'!H73-('2b-PayrollYrs1-3'!$E$26/12)-'6b-CashFlowYrs1-3'!H19-'Amortization&amp;Depreciation'!H123-'Amortization&amp;Depreciation'!H39-'Amortization&amp;Depreciation'!H19-'6b-CashFlowYrs1-3'!H25</f>
        <v>#REF!</v>
      </c>
      <c r="I71" s="420" t="e">
        <f>'3b-SalesForecastYrs1-3'!I73-('2b-PayrollYrs1-3'!$E$26/12)-'6b-CashFlowYrs1-3'!I19-'Amortization&amp;Depreciation'!I123-'Amortization&amp;Depreciation'!I39-'Amortization&amp;Depreciation'!I19-'6b-CashFlowYrs1-3'!I25</f>
        <v>#REF!</v>
      </c>
      <c r="J71" s="420" t="e">
        <f>'3b-SalesForecastYrs1-3'!J73-('2b-PayrollYrs1-3'!$E$26/12)-'6b-CashFlowYrs1-3'!J19-'Amortization&amp;Depreciation'!J123-'Amortization&amp;Depreciation'!J39-'Amortization&amp;Depreciation'!J19-'6b-CashFlowYrs1-3'!J25</f>
        <v>#REF!</v>
      </c>
      <c r="K71" s="420" t="e">
        <f>'3b-SalesForecastYrs1-3'!K73-('2b-PayrollYrs1-3'!$E$26/12)-'6b-CashFlowYrs1-3'!K19-'Amortization&amp;Depreciation'!K123-'Amortization&amp;Depreciation'!K39-'Amortization&amp;Depreciation'!K19-'6b-CashFlowYrs1-3'!K25</f>
        <v>#REF!</v>
      </c>
      <c r="L71" s="420" t="e">
        <f>'3b-SalesForecastYrs1-3'!L73-('2b-PayrollYrs1-3'!$E$26/12)-'6b-CashFlowYrs1-3'!L19-'Amortization&amp;Depreciation'!L123-'Amortization&amp;Depreciation'!L39-'Amortization&amp;Depreciation'!L19-'6b-CashFlowYrs1-3'!L25</f>
        <v>#REF!</v>
      </c>
      <c r="M71" s="420" t="e">
        <f>'3b-SalesForecastYrs1-3'!M73-('2b-PayrollYrs1-3'!$E$26/12)-'6b-CashFlowYrs1-3'!M19-'Amortization&amp;Depreciation'!M123-'Amortization&amp;Depreciation'!M39-'Amortization&amp;Depreciation'!M19-'6b-CashFlowYrs1-3'!M25</f>
        <v>#REF!</v>
      </c>
      <c r="N71" s="420" t="e">
        <f>'3b-SalesForecastYrs1-3'!N73-('2b-PayrollYrs1-3'!$E$26/12)-'6b-CashFlowYrs1-3'!N19-'Amortization&amp;Depreciation'!N123-'Amortization&amp;Depreciation'!N39-'Amortization&amp;Depreciation'!N19-'6b-CashFlowYrs1-3'!N25</f>
        <v>#REF!</v>
      </c>
      <c r="O71" s="420" t="e">
        <f>SUM(C71:N71)</f>
        <v>#REF!</v>
      </c>
      <c r="P71" s="417"/>
      <c r="Q71" s="5"/>
    </row>
    <row r="72" spans="1:19" x14ac:dyDescent="0.15">
      <c r="A72" s="417"/>
      <c r="B72" s="419" t="s">
        <v>308</v>
      </c>
      <c r="C72" s="420" t="e">
        <f>C71</f>
        <v>#REF!</v>
      </c>
      <c r="D72" s="420" t="e">
        <f>D71+C72</f>
        <v>#REF!</v>
      </c>
      <c r="E72" s="420" t="e">
        <f t="shared" ref="E72:N72" si="0">E71+D72</f>
        <v>#REF!</v>
      </c>
      <c r="F72" s="420" t="e">
        <f t="shared" si="0"/>
        <v>#REF!</v>
      </c>
      <c r="G72" s="420" t="e">
        <f t="shared" si="0"/>
        <v>#REF!</v>
      </c>
      <c r="H72" s="420" t="e">
        <f t="shared" si="0"/>
        <v>#REF!</v>
      </c>
      <c r="I72" s="420" t="e">
        <f t="shared" si="0"/>
        <v>#REF!</v>
      </c>
      <c r="J72" s="420" t="e">
        <f t="shared" si="0"/>
        <v>#REF!</v>
      </c>
      <c r="K72" s="420" t="e">
        <f t="shared" si="0"/>
        <v>#REF!</v>
      </c>
      <c r="L72" s="420" t="e">
        <f t="shared" si="0"/>
        <v>#REF!</v>
      </c>
      <c r="M72" s="420" t="e">
        <f t="shared" si="0"/>
        <v>#REF!</v>
      </c>
      <c r="N72" s="420" t="e">
        <f t="shared" si="0"/>
        <v>#REF!</v>
      </c>
      <c r="O72" s="420" t="e">
        <f t="shared" ref="O72" si="1">SUM(C72:N72)</f>
        <v>#REF!</v>
      </c>
      <c r="P72" s="417"/>
      <c r="Q72" s="5"/>
    </row>
    <row r="73" spans="1:19" x14ac:dyDescent="0.15">
      <c r="A73" s="417"/>
      <c r="B73" s="419" t="s">
        <v>325</v>
      </c>
      <c r="C73" s="420" t="e">
        <f>IF(C72&gt;0,C71*'4-AdditionalInputs'!$C$40, 0)</f>
        <v>#REF!</v>
      </c>
      <c r="D73" s="430" t="e">
        <f>IF(D72&gt;0,IF(C72&lt;0,(D71-ABS(C72))*'4-AdditionalInputs'!$C$40,D71*'4-AdditionalInputs'!$C$40),IF(C72&gt;0,-(C72*'4-AdditionalInputs'!$C$40),0))</f>
        <v>#REF!</v>
      </c>
      <c r="E73" s="430" t="e">
        <f>IF(E72&gt;0,IF(D72&lt;0,(E71-ABS(D72))*'4-AdditionalInputs'!$C$40,E71*'4-AdditionalInputs'!$C$40),IF(D72&gt;0,-(D72*'4-AdditionalInputs'!$C$40),0))</f>
        <v>#REF!</v>
      </c>
      <c r="F73" s="430" t="e">
        <f>IF(F72&gt;0,IF(E72&lt;0,(F71-ABS(E72))*'4-AdditionalInputs'!$C$40,F71*'4-AdditionalInputs'!$C$40),IF(E72&gt;0,-(E72*'4-AdditionalInputs'!$C$40),0))</f>
        <v>#REF!</v>
      </c>
      <c r="G73" s="430" t="e">
        <f>IF(G72&gt;0,IF(F72&lt;0,(G71-ABS(F72))*'4-AdditionalInputs'!$C$40,G71*'4-AdditionalInputs'!$C$40),IF(F72&gt;0,-(F72*'4-AdditionalInputs'!$C$40),0))</f>
        <v>#REF!</v>
      </c>
      <c r="H73" s="430" t="e">
        <f>IF(H72&gt;0,IF(G72&lt;0,(H71-ABS(G72))*'4-AdditionalInputs'!$C$40,H71*'4-AdditionalInputs'!$C$40),IF(G72&gt;0,-(G72*'4-AdditionalInputs'!$C$40),0))</f>
        <v>#REF!</v>
      </c>
      <c r="I73" s="430" t="e">
        <f>IF(I72&gt;0,IF(H72&lt;0,(I71-ABS(H72))*'4-AdditionalInputs'!$C$40,I71*'4-AdditionalInputs'!$C$40),IF(H72&gt;0,-(H72*'4-AdditionalInputs'!$C$40),0))</f>
        <v>#REF!</v>
      </c>
      <c r="J73" s="430" t="e">
        <f>IF(J72&gt;0,IF(I72&lt;0,(J71-ABS(I72))*'4-AdditionalInputs'!$C$40,J71*'4-AdditionalInputs'!$C$40),IF(I72&gt;0,-(I72*'4-AdditionalInputs'!$C$40),0))</f>
        <v>#REF!</v>
      </c>
      <c r="K73" s="430" t="e">
        <f>IF(K72&gt;0,IF(J72&lt;0,(K71-ABS(J72))*'4-AdditionalInputs'!$C$40,K71*'4-AdditionalInputs'!$C$40),IF(J72&gt;0,-(J72*'4-AdditionalInputs'!$C$40),0))</f>
        <v>#REF!</v>
      </c>
      <c r="L73" s="430" t="e">
        <f>IF(L72&gt;0,IF(K72&lt;0,(L71-ABS(K72))*'4-AdditionalInputs'!$C$40,L71*'4-AdditionalInputs'!$C$40),IF(K72&gt;0,-(K72*'4-AdditionalInputs'!$C$40),0))</f>
        <v>#REF!</v>
      </c>
      <c r="M73" s="430" t="e">
        <f>IF(M72&gt;0,IF(L72&lt;0,(M71-ABS(L72))*'4-AdditionalInputs'!$C$40,M71*'4-AdditionalInputs'!$C$40),IF(L72&gt;0,-(L72*'4-AdditionalInputs'!$C$40),0))</f>
        <v>#REF!</v>
      </c>
      <c r="N73" s="430" t="e">
        <f>IF(N72&gt;0,IF(M72&lt;0,(N71-ABS(M72))*'4-AdditionalInputs'!$C$40,N71*'4-AdditionalInputs'!$C$40),IF(M72&gt;0,-(M72*'4-AdditionalInputs'!$C$40),0))</f>
        <v>#REF!</v>
      </c>
      <c r="O73" s="430" t="e">
        <f>SUM(C73:N73)</f>
        <v>#REF!</v>
      </c>
      <c r="P73" s="417"/>
      <c r="Q73" s="5"/>
    </row>
    <row r="74" spans="1:19" x14ac:dyDescent="0.15">
      <c r="A74" s="417"/>
      <c r="B74" s="417"/>
      <c r="C74" s="417"/>
      <c r="D74" s="426"/>
      <c r="E74" s="417"/>
      <c r="F74" s="427"/>
      <c r="G74" s="417"/>
      <c r="H74" s="426"/>
      <c r="I74" s="417"/>
      <c r="J74" s="417"/>
      <c r="K74" s="417"/>
      <c r="L74" s="417"/>
      <c r="M74" s="417"/>
      <c r="N74" s="417"/>
      <c r="O74" s="417"/>
      <c r="P74" s="417"/>
      <c r="Q74" s="5"/>
      <c r="R74" s="5"/>
      <c r="S74" s="5"/>
    </row>
    <row r="75" spans="1:19" x14ac:dyDescent="0.15">
      <c r="A75" s="417"/>
      <c r="B75" s="419" t="s">
        <v>327</v>
      </c>
      <c r="C75" s="420" t="e">
        <f>('3b-SalesForecastYrs1-3'!R73-('2b-PayrollYrs1-3'!$G$26/12)-'6b-CashFlowYrs1-3'!P19)-'Amortization&amp;Depreciation'!C127-'Amortization&amp;Depreciation'!C43-'Amortization&amp;Depreciation'!C23-'6b-CashFlowYrs1-3'!P25</f>
        <v>#REF!</v>
      </c>
      <c r="D75" s="420" t="e">
        <f>('3b-SalesForecastYrs1-3'!S73-('2b-PayrollYrs1-3'!$G$26/12)-'6b-CashFlowYrs1-3'!Q19)-'Amortization&amp;Depreciation'!D127-'Amortization&amp;Depreciation'!D43-'Amortization&amp;Depreciation'!D23-'6b-CashFlowYrs1-3'!Q25</f>
        <v>#REF!</v>
      </c>
      <c r="E75" s="420" t="e">
        <f>('3b-SalesForecastYrs1-3'!T73-('2b-PayrollYrs1-3'!$G$26/12)-'6b-CashFlowYrs1-3'!R19)-'Amortization&amp;Depreciation'!E127-'Amortization&amp;Depreciation'!E43-'Amortization&amp;Depreciation'!E23-'6b-CashFlowYrs1-3'!R25</f>
        <v>#REF!</v>
      </c>
      <c r="F75" s="420" t="e">
        <f>('3b-SalesForecastYrs1-3'!U73-('2b-PayrollYrs1-3'!$G$26/12)-'6b-CashFlowYrs1-3'!S19)-'Amortization&amp;Depreciation'!F127-'Amortization&amp;Depreciation'!F43-'Amortization&amp;Depreciation'!F23-'6b-CashFlowYrs1-3'!S25</f>
        <v>#REF!</v>
      </c>
      <c r="G75" s="420" t="e">
        <f>('3b-SalesForecastYrs1-3'!V73-('2b-PayrollYrs1-3'!$G$26/12)-'6b-CashFlowYrs1-3'!T19)-'Amortization&amp;Depreciation'!G127-'Amortization&amp;Depreciation'!G43-'Amortization&amp;Depreciation'!G23-'6b-CashFlowYrs1-3'!T25</f>
        <v>#REF!</v>
      </c>
      <c r="H75" s="420" t="e">
        <f>('3b-SalesForecastYrs1-3'!W73-('2b-PayrollYrs1-3'!$G$26/12)-'6b-CashFlowYrs1-3'!U19)-'Amortization&amp;Depreciation'!H127-'Amortization&amp;Depreciation'!H43-'Amortization&amp;Depreciation'!H23-'6b-CashFlowYrs1-3'!U25</f>
        <v>#REF!</v>
      </c>
      <c r="I75" s="420" t="e">
        <f>('3b-SalesForecastYrs1-3'!X73-('2b-PayrollYrs1-3'!$G$26/12)-'6b-CashFlowYrs1-3'!V19)-'Amortization&amp;Depreciation'!I127-'Amortization&amp;Depreciation'!I43-'Amortization&amp;Depreciation'!I23-'6b-CashFlowYrs1-3'!V25</f>
        <v>#REF!</v>
      </c>
      <c r="J75" s="420" t="e">
        <f>('3b-SalesForecastYrs1-3'!Y73-('2b-PayrollYrs1-3'!$G$26/12)-'6b-CashFlowYrs1-3'!W19)-'Amortization&amp;Depreciation'!J127-'Amortization&amp;Depreciation'!J43-'Amortization&amp;Depreciation'!J23-'6b-CashFlowYrs1-3'!W25</f>
        <v>#REF!</v>
      </c>
      <c r="K75" s="420" t="e">
        <f>('3b-SalesForecastYrs1-3'!Z73-('2b-PayrollYrs1-3'!$G$26/12)-'6b-CashFlowYrs1-3'!X19)-'Amortization&amp;Depreciation'!K127-'Amortization&amp;Depreciation'!K43-'Amortization&amp;Depreciation'!K23-'6b-CashFlowYrs1-3'!X25</f>
        <v>#REF!</v>
      </c>
      <c r="L75" s="420" t="e">
        <f>('3b-SalesForecastYrs1-3'!AA73-('2b-PayrollYrs1-3'!$G$26/12)-'6b-CashFlowYrs1-3'!Y19)-'Amortization&amp;Depreciation'!L127-'Amortization&amp;Depreciation'!L43-'Amortization&amp;Depreciation'!L23-'6b-CashFlowYrs1-3'!Y25</f>
        <v>#REF!</v>
      </c>
      <c r="M75" s="420" t="e">
        <f>('3b-SalesForecastYrs1-3'!AB73-('2b-PayrollYrs1-3'!$G$26/12)-'6b-CashFlowYrs1-3'!Z19)-'Amortization&amp;Depreciation'!M127-'Amortization&amp;Depreciation'!M43-'Amortization&amp;Depreciation'!M23-'6b-CashFlowYrs1-3'!Z25</f>
        <v>#REF!</v>
      </c>
      <c r="N75" s="420" t="e">
        <f>('3b-SalesForecastYrs1-3'!AC73-('2b-PayrollYrs1-3'!$G$26/12)-'6b-CashFlowYrs1-3'!AA19)-'Amortization&amp;Depreciation'!N127-'Amortization&amp;Depreciation'!N43-'Amortization&amp;Depreciation'!N23-'6b-CashFlowYrs1-3'!AA25</f>
        <v>#REF!</v>
      </c>
      <c r="O75" s="420" t="e">
        <f>SUM(C75:N75)</f>
        <v>#REF!</v>
      </c>
      <c r="P75" s="417"/>
      <c r="Q75" s="5"/>
      <c r="R75" s="5"/>
      <c r="S75" s="5"/>
    </row>
    <row r="76" spans="1:19" x14ac:dyDescent="0.15">
      <c r="A76" s="417"/>
      <c r="B76" s="419" t="s">
        <v>308</v>
      </c>
      <c r="C76" s="420" t="e">
        <f>C75</f>
        <v>#REF!</v>
      </c>
      <c r="D76" s="420" t="e">
        <f>D75+C76</f>
        <v>#REF!</v>
      </c>
      <c r="E76" s="420" t="e">
        <f t="shared" ref="E76:N76" si="2">E75+D76</f>
        <v>#REF!</v>
      </c>
      <c r="F76" s="420" t="e">
        <f t="shared" si="2"/>
        <v>#REF!</v>
      </c>
      <c r="G76" s="420" t="e">
        <f t="shared" si="2"/>
        <v>#REF!</v>
      </c>
      <c r="H76" s="420" t="e">
        <f t="shared" si="2"/>
        <v>#REF!</v>
      </c>
      <c r="I76" s="420" t="e">
        <f t="shared" si="2"/>
        <v>#REF!</v>
      </c>
      <c r="J76" s="420" t="e">
        <f t="shared" si="2"/>
        <v>#REF!</v>
      </c>
      <c r="K76" s="420" t="e">
        <f t="shared" si="2"/>
        <v>#REF!</v>
      </c>
      <c r="L76" s="420" t="e">
        <f t="shared" si="2"/>
        <v>#REF!</v>
      </c>
      <c r="M76" s="420" t="e">
        <f t="shared" si="2"/>
        <v>#REF!</v>
      </c>
      <c r="N76" s="420" t="e">
        <f t="shared" si="2"/>
        <v>#REF!</v>
      </c>
      <c r="O76" s="420" t="e">
        <f t="shared" ref="O76:O77" si="3">SUM(C76:N76)</f>
        <v>#REF!</v>
      </c>
      <c r="P76" s="417"/>
      <c r="Q76" s="5"/>
      <c r="R76" s="5"/>
      <c r="S76" s="5"/>
    </row>
    <row r="77" spans="1:19" x14ac:dyDescent="0.15">
      <c r="A77" s="417"/>
      <c r="B77" s="419" t="s">
        <v>325</v>
      </c>
      <c r="C77" s="420" t="e">
        <f>IF(C76&gt;0,C75*'4-AdditionalInputs'!$C$40, 0)</f>
        <v>#REF!</v>
      </c>
      <c r="D77" s="430" t="e">
        <f>IF(D76&gt;0,IF(C76&lt;0,(D75-ABS(C76))*'4-AdditionalInputs'!$C$40,D75*'4-AdditionalInputs'!$C$40),IF(C76&gt;0,C76*'4-AdditionalInputs'!$C$40,0))</f>
        <v>#REF!</v>
      </c>
      <c r="E77" s="430" t="e">
        <f>IF(E76&gt;0,IF(D76&lt;0,(E75-ABS(D76))*'4-AdditionalInputs'!$C$40,E75*'4-AdditionalInputs'!$C$40),IF(D76&gt;0,D76*'4-AdditionalInputs'!$C$40,0))</f>
        <v>#REF!</v>
      </c>
      <c r="F77" s="430" t="e">
        <f>IF(F76&gt;0,IF(E76&lt;0,(F75-ABS(E76))*'4-AdditionalInputs'!$C$40,F75*'4-AdditionalInputs'!$C$40),IF(E76&gt;0,E76*'4-AdditionalInputs'!$C$40,0))</f>
        <v>#REF!</v>
      </c>
      <c r="G77" s="430" t="e">
        <f>IF(G76&gt;0,IF(F76&lt;0,(G75-ABS(F76))*'4-AdditionalInputs'!$C$40,G75*'4-AdditionalInputs'!$C$40),IF(F76&gt;0,F76*'4-AdditionalInputs'!$C$40,0))</f>
        <v>#REF!</v>
      </c>
      <c r="H77" s="430" t="e">
        <f>IF(H76&gt;0,IF(G76&lt;0,(H75-ABS(G76))*'4-AdditionalInputs'!$C$40,H75*'4-AdditionalInputs'!$C$40),IF(G76&gt;0,G76*'4-AdditionalInputs'!$C$40,0))</f>
        <v>#REF!</v>
      </c>
      <c r="I77" s="430" t="e">
        <f>IF(I76&gt;0,IF(H76&lt;0,(I75-ABS(H76))*'4-AdditionalInputs'!$C$40,I75*'4-AdditionalInputs'!$C$40),IF(H76&gt;0,H76*'4-AdditionalInputs'!$C$40,0))</f>
        <v>#REF!</v>
      </c>
      <c r="J77" s="430" t="e">
        <f>IF(J76&gt;0,IF(I76&lt;0,(J75-ABS(I76))*'4-AdditionalInputs'!$C$40,J75*'4-AdditionalInputs'!$C$40),IF(I76&gt;0,I76*'4-AdditionalInputs'!$C$40,0))</f>
        <v>#REF!</v>
      </c>
      <c r="K77" s="430" t="e">
        <f>IF(K76&gt;0,IF(J76&lt;0,(K75-ABS(J76))*'4-AdditionalInputs'!$C$40,K75*'4-AdditionalInputs'!$C$40),IF(J76&gt;0,J76*'4-AdditionalInputs'!$C$40,0))</f>
        <v>#REF!</v>
      </c>
      <c r="L77" s="430" t="e">
        <f>IF(L76&gt;0,IF(K76&lt;0,(L75-ABS(K76))*'4-AdditionalInputs'!$C$40,L75*'4-AdditionalInputs'!$C$40),IF(K76&gt;0,K76*'4-AdditionalInputs'!$C$40,0))</f>
        <v>#REF!</v>
      </c>
      <c r="M77" s="430" t="e">
        <f>IF(M76&gt;0,IF(L76&lt;0,(M75-ABS(L76))*'4-AdditionalInputs'!$C$40,M75*'4-AdditionalInputs'!$C$40),IF(L76&gt;0,L76*'4-AdditionalInputs'!$C$40,0))</f>
        <v>#REF!</v>
      </c>
      <c r="N77" s="430" t="e">
        <f>IF(N76&gt;0,IF(M76&lt;0,(N75-ABS(M76))*'4-AdditionalInputs'!$C$40,N75*'4-AdditionalInputs'!$C$40),IF(M76&gt;0,M76*'4-AdditionalInputs'!$C$40,0))</f>
        <v>#REF!</v>
      </c>
      <c r="O77" s="420" t="e">
        <f t="shared" si="3"/>
        <v>#REF!</v>
      </c>
      <c r="P77" s="417"/>
      <c r="Q77" s="5"/>
      <c r="R77" s="5"/>
      <c r="S77" s="5"/>
    </row>
    <row r="78" spans="1:19" x14ac:dyDescent="0.15">
      <c r="A78" s="417"/>
      <c r="B78" s="417"/>
      <c r="C78" s="431"/>
      <c r="D78" s="431"/>
      <c r="E78" s="431"/>
      <c r="F78" s="431"/>
      <c r="G78" s="431"/>
      <c r="H78" s="431"/>
      <c r="I78" s="431"/>
      <c r="J78" s="431"/>
      <c r="K78" s="431"/>
      <c r="L78" s="431"/>
      <c r="M78" s="431"/>
      <c r="N78" s="431"/>
      <c r="O78" s="431"/>
      <c r="P78" s="417"/>
      <c r="Q78" s="5"/>
      <c r="R78" s="5"/>
      <c r="S78" s="5"/>
    </row>
    <row r="79" spans="1:19" x14ac:dyDescent="0.15">
      <c r="A79" s="417"/>
      <c r="B79" s="417"/>
      <c r="C79" s="431"/>
      <c r="D79" s="431"/>
      <c r="E79" s="431"/>
      <c r="F79" s="431"/>
      <c r="G79" s="431"/>
      <c r="H79" s="431"/>
      <c r="I79" s="431"/>
      <c r="J79" s="431"/>
      <c r="K79" s="431"/>
      <c r="L79" s="431"/>
      <c r="M79" s="431"/>
      <c r="N79" s="431"/>
      <c r="O79" s="431"/>
      <c r="P79" s="417"/>
      <c r="Q79" s="5"/>
      <c r="R79" s="5"/>
      <c r="S79" s="5"/>
    </row>
    <row r="80" spans="1:19" x14ac:dyDescent="0.15">
      <c r="A80" s="417"/>
      <c r="B80" s="417"/>
      <c r="C80" s="431"/>
      <c r="D80" s="431"/>
      <c r="E80" s="431"/>
      <c r="F80" s="431"/>
      <c r="G80" s="431"/>
      <c r="H80" s="431"/>
      <c r="I80" s="431"/>
      <c r="J80" s="431"/>
      <c r="K80" s="431"/>
      <c r="L80" s="431"/>
      <c r="M80" s="431"/>
      <c r="N80" s="431"/>
      <c r="O80" s="431"/>
      <c r="P80" s="417"/>
      <c r="Q80" s="5"/>
      <c r="R80" s="5"/>
      <c r="S80" s="5"/>
    </row>
    <row r="81" spans="1:23" x14ac:dyDescent="0.15">
      <c r="A81" s="5"/>
      <c r="B81" s="417"/>
      <c r="C81" s="431"/>
      <c r="D81" s="432"/>
      <c r="E81" s="431"/>
      <c r="F81" s="431"/>
      <c r="G81" s="431"/>
      <c r="H81" s="431"/>
      <c r="I81" s="431"/>
      <c r="J81" s="431"/>
      <c r="K81" s="431"/>
      <c r="L81" s="431"/>
      <c r="M81" s="431"/>
      <c r="N81" s="431"/>
      <c r="O81" s="431"/>
      <c r="P81" s="417"/>
      <c r="Q81" s="5"/>
      <c r="R81" s="5"/>
      <c r="S81" s="5"/>
      <c r="T81" s="5"/>
      <c r="U81" s="5"/>
      <c r="V81" s="5"/>
      <c r="W81" s="5"/>
    </row>
    <row r="82" spans="1:23" x14ac:dyDescent="0.15">
      <c r="A82" s="5"/>
      <c r="B82" s="9"/>
      <c r="C82" s="9"/>
      <c r="D82" s="269"/>
      <c r="E82" s="9"/>
      <c r="F82" s="270"/>
      <c r="G82" s="9"/>
      <c r="H82" s="269"/>
      <c r="I82" s="9"/>
      <c r="J82" s="9"/>
      <c r="K82" s="9"/>
      <c r="L82" s="9"/>
      <c r="M82" s="9"/>
      <c r="N82" s="9"/>
      <c r="O82" s="9"/>
      <c r="P82" s="5"/>
      <c r="Q82" s="5"/>
      <c r="R82" s="5"/>
      <c r="S82" s="5"/>
      <c r="T82" s="5"/>
      <c r="U82" s="5"/>
      <c r="V82" s="5"/>
      <c r="W82" s="5"/>
    </row>
    <row r="83" spans="1:23" x14ac:dyDescent="0.15">
      <c r="A83" s="5"/>
      <c r="B83" s="5"/>
      <c r="C83" s="271"/>
      <c r="D83" s="271"/>
      <c r="E83" s="271"/>
      <c r="F83" s="271"/>
      <c r="G83" s="271"/>
      <c r="H83" s="271"/>
      <c r="I83" s="271"/>
      <c r="J83" s="271"/>
      <c r="K83" s="271"/>
      <c r="L83" s="271"/>
      <c r="M83" s="271"/>
      <c r="N83" s="271"/>
      <c r="O83" s="271"/>
      <c r="P83" s="5"/>
      <c r="Q83" s="5"/>
      <c r="R83" s="5"/>
      <c r="S83" s="5"/>
      <c r="T83" s="5"/>
      <c r="U83" s="5"/>
      <c r="V83" s="5"/>
      <c r="W83" s="5"/>
    </row>
    <row r="84" spans="1:23" x14ac:dyDescent="0.15">
      <c r="A84" s="5"/>
      <c r="B84" s="5"/>
      <c r="C84" s="248"/>
      <c r="D84" s="248"/>
      <c r="E84" s="248"/>
      <c r="F84" s="248"/>
      <c r="G84" s="248"/>
      <c r="H84" s="248"/>
      <c r="I84" s="248"/>
      <c r="J84" s="248"/>
      <c r="K84" s="248"/>
      <c r="L84" s="248"/>
      <c r="M84" s="248"/>
      <c r="N84" s="248"/>
      <c r="O84" s="248"/>
      <c r="P84" s="5"/>
      <c r="Q84" s="5"/>
      <c r="R84" s="5"/>
      <c r="S84" s="5"/>
      <c r="T84" s="5"/>
      <c r="U84" s="5"/>
      <c r="V84" s="5"/>
      <c r="W84" s="5"/>
    </row>
    <row r="85" spans="1:23" x14ac:dyDescent="0.15">
      <c r="A85" s="5"/>
      <c r="B85" s="5"/>
      <c r="C85" s="248"/>
      <c r="D85" s="248"/>
      <c r="E85" s="248"/>
      <c r="F85" s="248"/>
      <c r="G85" s="248"/>
      <c r="H85" s="248"/>
      <c r="I85" s="248"/>
      <c r="J85" s="248"/>
      <c r="K85" s="248"/>
      <c r="L85" s="248"/>
      <c r="M85" s="248"/>
      <c r="N85" s="248"/>
      <c r="O85" s="248"/>
      <c r="P85" s="5"/>
      <c r="Q85" s="5"/>
      <c r="R85" s="5"/>
      <c r="S85" s="5"/>
      <c r="T85" s="5"/>
      <c r="U85" s="5"/>
      <c r="V85" s="5"/>
      <c r="W85" s="5"/>
    </row>
    <row r="86" spans="1:23" x14ac:dyDescent="0.15">
      <c r="A86" s="5"/>
      <c r="B86" s="5"/>
      <c r="C86" s="248"/>
      <c r="D86" s="248"/>
      <c r="E86" s="248"/>
      <c r="F86" s="248"/>
      <c r="G86" s="248"/>
      <c r="H86" s="248"/>
      <c r="I86" s="248"/>
      <c r="J86" s="248"/>
      <c r="K86" s="248"/>
      <c r="L86" s="248"/>
      <c r="M86" s="248"/>
      <c r="N86" s="248"/>
      <c r="O86" s="248"/>
      <c r="P86" s="5"/>
      <c r="Q86" s="5"/>
      <c r="R86" s="5"/>
      <c r="S86" s="5"/>
      <c r="T86" s="5"/>
      <c r="U86" s="5"/>
      <c r="V86" s="5"/>
      <c r="W86" s="5"/>
    </row>
    <row r="87" spans="1:23" x14ac:dyDescent="0.15">
      <c r="A87" s="5"/>
      <c r="B87" s="5"/>
      <c r="C87" s="248"/>
      <c r="D87" s="295"/>
      <c r="E87" s="248"/>
      <c r="F87" s="248"/>
      <c r="G87" s="248"/>
      <c r="H87" s="248"/>
      <c r="I87" s="248"/>
      <c r="J87" s="248"/>
      <c r="K87" s="248"/>
      <c r="L87" s="248"/>
      <c r="M87" s="248"/>
      <c r="N87" s="248"/>
      <c r="O87" s="248"/>
      <c r="P87" s="5"/>
      <c r="Q87" s="5"/>
      <c r="R87" s="5"/>
      <c r="S87" s="5"/>
      <c r="T87" s="5"/>
      <c r="U87" s="5"/>
      <c r="V87" s="5"/>
      <c r="W87" s="5"/>
    </row>
    <row r="88" spans="1:23" x14ac:dyDescent="0.15">
      <c r="A88" s="5"/>
      <c r="B88" s="5"/>
      <c r="C88" s="5"/>
      <c r="D88" s="272"/>
      <c r="E88" s="5"/>
      <c r="F88" s="273"/>
      <c r="G88" s="5"/>
      <c r="H88" s="272"/>
      <c r="I88" s="5"/>
      <c r="J88" s="5"/>
      <c r="K88" s="5"/>
      <c r="L88" s="5"/>
      <c r="M88" s="5"/>
      <c r="N88" s="5"/>
      <c r="O88" s="5"/>
      <c r="P88" s="5"/>
      <c r="Q88" s="5"/>
      <c r="R88" s="5"/>
      <c r="S88" s="5"/>
      <c r="T88" s="5"/>
      <c r="U88" s="5"/>
      <c r="V88" s="5"/>
      <c r="W88" s="5"/>
    </row>
    <row r="89" spans="1:23" x14ac:dyDescent="0.15">
      <c r="A89" s="5"/>
      <c r="B89" s="5"/>
      <c r="C89" s="5"/>
      <c r="D89" s="272"/>
      <c r="E89" s="5"/>
      <c r="F89" s="273"/>
      <c r="G89" s="5"/>
      <c r="H89" s="272"/>
      <c r="I89" s="5"/>
      <c r="J89" s="5"/>
      <c r="K89" s="5"/>
      <c r="L89" s="5"/>
      <c r="M89" s="5"/>
      <c r="N89" s="5"/>
      <c r="O89" s="5"/>
      <c r="P89" s="5"/>
      <c r="Q89" s="5"/>
      <c r="R89" s="5"/>
      <c r="S89" s="5"/>
      <c r="T89" s="5"/>
      <c r="U89" s="5"/>
      <c r="V89" s="5"/>
      <c r="W89" s="5"/>
    </row>
    <row r="90" spans="1:23" x14ac:dyDescent="0.15">
      <c r="A90" s="5"/>
      <c r="B90" s="5"/>
      <c r="C90" s="5"/>
      <c r="D90" s="272"/>
      <c r="E90" s="5"/>
      <c r="F90" s="273"/>
      <c r="G90" s="5"/>
      <c r="H90" s="272"/>
      <c r="I90" s="5"/>
      <c r="J90" s="5"/>
      <c r="K90" s="5"/>
      <c r="L90" s="5"/>
      <c r="M90" s="5"/>
      <c r="N90" s="5"/>
      <c r="O90" s="5"/>
      <c r="P90" s="5"/>
      <c r="Q90" s="5"/>
      <c r="R90" s="5"/>
      <c r="S90" s="5"/>
    </row>
  </sheetData>
  <sheetProtection algorithmName="SHA-512" hashValue="ICCP8gBljPwCzph8wN2UQlbN4h8paBKMAOfQHwhFwGf9ZoAtSAEbO0Lj+C/IN2f0Jxnx/oRKW4SpbxclyuktAg==" saltValue="3+TCeHIm3p6fE6OpzZgqsg==" spinCount="100000" sheet="1" objects="1" scenarios="1" formatColumns="0" formatRows="0"/>
  <mergeCells count="2">
    <mergeCell ref="B2:C2"/>
    <mergeCell ref="I2:K3"/>
  </mergeCells>
  <phoneticPr fontId="3" type="noConversion"/>
  <conditionalFormatting sqref="C21:C29">
    <cfRule type="expression" dxfId="32" priority="16" stopIfTrue="1">
      <formula>ISERROR(C21)</formula>
    </cfRule>
  </conditionalFormatting>
  <conditionalFormatting sqref="C66 E66 G66">
    <cfRule type="containsBlanks" dxfId="31" priority="31">
      <formula>LEN(TRIM(C66))=0</formula>
    </cfRule>
  </conditionalFormatting>
  <conditionalFormatting sqref="C9:D9 F9 H9 C10:C17 C18:H19 C33:H50">
    <cfRule type="expression" dxfId="30" priority="41" stopIfTrue="1">
      <formula>ISERROR(C9)</formula>
    </cfRule>
  </conditionalFormatting>
  <conditionalFormatting sqref="E9:E17">
    <cfRule type="expression" dxfId="29" priority="2" stopIfTrue="1">
      <formula>ISERROR(E9)</formula>
    </cfRule>
  </conditionalFormatting>
  <conditionalFormatting sqref="E21:E29">
    <cfRule type="expression" dxfId="28" priority="5" stopIfTrue="1">
      <formula>ISERROR(E21)</formula>
    </cfRule>
  </conditionalFormatting>
  <conditionalFormatting sqref="G9:G17">
    <cfRule type="expression" dxfId="27" priority="1" stopIfTrue="1">
      <formula>ISERROR(G9)</formula>
    </cfRule>
  </conditionalFormatting>
  <conditionalFormatting sqref="G21:G29">
    <cfRule type="expression" dxfId="26" priority="3" stopIfTrue="1">
      <formula>ISERROR(G21)</formula>
    </cfRule>
  </conditionalFormatting>
  <printOptions horizontalCentered="1" verticalCentered="1"/>
  <pageMargins left="0.7" right="0.7" top="0.75" bottom="0.75" header="0.3" footer="0.3"/>
  <pageSetup scale="58" orientation="landscape"/>
  <headerFooter scaleWithDoc="0">
    <oddHeader>&amp;C&amp;"Gill Sans MT,Regular"&amp;12Income Statement Years 1-3</oddHeader>
    <oddFooter>&amp;L&amp;"Gill Sans MT,Regular"&amp;12&amp;F&amp;C&amp;"Gill Sans MT,Regular"&amp;12&amp;A&amp;R&amp;"Gill Sans MT,Regular"&amp;12&amp;D &amp;T</oddFooter>
  </headerFooter>
  <ignoredErrors>
    <ignoredError sqref="D30 D51:D52 D64:F64 G51 E51 F32" formula="1"/>
  </ignoredErrors>
  <legacyDrawing r:id="rId1"/>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FFC95B"/>
    <pageSetUpPr fitToPage="1"/>
  </sheetPr>
  <dimension ref="C2:H46"/>
  <sheetViews>
    <sheetView topLeftCell="A7" workbookViewId="0">
      <selection activeCell="F46" sqref="F46"/>
    </sheetView>
  </sheetViews>
  <sheetFormatPr baseColWidth="10" defaultColWidth="8.83203125" defaultRowHeight="12" x14ac:dyDescent="0.15"/>
  <cols>
    <col min="1" max="2" width="3.83203125" style="43" customWidth="1"/>
    <col min="3" max="3" width="41.6640625" style="43" bestFit="1" customWidth="1"/>
    <col min="4" max="4" width="15" style="43" bestFit="1" customWidth="1"/>
    <col min="5" max="6" width="16.6640625" style="43" bestFit="1" customWidth="1"/>
    <col min="7" max="16384" width="8.83203125" style="43"/>
  </cols>
  <sheetData>
    <row r="2" spans="3:6" x14ac:dyDescent="0.15">
      <c r="C2" s="55" t="s">
        <v>316</v>
      </c>
      <c r="D2" s="53"/>
      <c r="F2" s="140"/>
    </row>
    <row r="3" spans="3:6" x14ac:dyDescent="0.15">
      <c r="C3" s="53"/>
      <c r="D3" s="53"/>
      <c r="F3" s="140"/>
    </row>
    <row r="4" spans="3:6" ht="17.25" customHeight="1" x14ac:dyDescent="0.15">
      <c r="C4" s="55" t="s">
        <v>119</v>
      </c>
      <c r="D4" s="55" t="s">
        <v>120</v>
      </c>
      <c r="F4" s="140"/>
    </row>
    <row r="5" spans="3:6" x14ac:dyDescent="0.15">
      <c r="C5" s="18" t="str">
        <f>IF(ISBLANK(Directions!C6), "Owner", Directions!C6)</f>
        <v>Owner</v>
      </c>
      <c r="D5" s="18" t="str">
        <f>IF(ISBLANK(Directions!D6), "Company 1", Directions!D6)</f>
        <v>Company 1</v>
      </c>
      <c r="F5" s="140"/>
    </row>
    <row r="6" spans="3:6" x14ac:dyDescent="0.15">
      <c r="F6" s="140"/>
    </row>
    <row r="7" spans="3:6" ht="14" thickBot="1" x14ac:dyDescent="0.2">
      <c r="C7" s="326" t="s">
        <v>9</v>
      </c>
      <c r="D7" s="326" t="str">
        <f>IF(Directions!F6&gt;0,Directions!F6,"First Year")</f>
        <v>First Year</v>
      </c>
      <c r="E7" s="326" t="str">
        <f>IF(Directions!F6&gt;0,Directions!F6+1,"Second Year")</f>
        <v>Second Year</v>
      </c>
      <c r="F7" s="326" t="str">
        <f>IF(Directions!F6&gt;0,Directions!F6+2,"Third Year")</f>
        <v>Third Year</v>
      </c>
    </row>
    <row r="8" spans="3:6" ht="13" thickTop="1" x14ac:dyDescent="0.15">
      <c r="C8" s="303" t="s">
        <v>256</v>
      </c>
      <c r="D8" s="349"/>
      <c r="E8" s="349"/>
      <c r="F8" s="349"/>
    </row>
    <row r="9" spans="3:6" x14ac:dyDescent="0.15">
      <c r="C9" s="176" t="s">
        <v>161</v>
      </c>
      <c r="D9" s="79" t="e">
        <f>Y1EndingCashBal</f>
        <v>#DIV/0!</v>
      </c>
      <c r="E9" s="79" t="e">
        <f>'6b-CashFlowYrs1-3'!N32</f>
        <v>#DIV/0!</v>
      </c>
      <c r="F9" s="79" t="e">
        <f>'6b-CashFlowYrs1-3'!AA32</f>
        <v>#DIV/0!</v>
      </c>
    </row>
    <row r="10" spans="3:6" x14ac:dyDescent="0.15">
      <c r="C10" s="176" t="s">
        <v>269</v>
      </c>
      <c r="D10" s="79" t="e">
        <f>+'7a-IncomeStatementYear1'!O19-'6a-CashFlowYear1'!O12-'7a-IncomeStatementYear1'!O64</f>
        <v>#REF!</v>
      </c>
      <c r="E10" s="79" t="e">
        <f>+D10+'7b-IncomeStatementYrs1-3'!E18-'6b-CashFlowYrs1-3'!O11-'7b-IncomeStatementYrs1-3'!E63</f>
        <v>#REF!</v>
      </c>
      <c r="F10" s="79" t="e">
        <f>+E10+'7b-IncomeStatementYrs1-3'!G18-'6b-CashFlowYrs1-3'!AB11-'7b-IncomeStatementYrs1-3'!G63</f>
        <v>#REF!</v>
      </c>
    </row>
    <row r="11" spans="3:6" x14ac:dyDescent="0.15">
      <c r="C11" s="176" t="s">
        <v>4</v>
      </c>
      <c r="D11" s="79">
        <f>+Inventory+'6a-CashFlowYear1'!O17</f>
        <v>0</v>
      </c>
      <c r="E11" s="79">
        <f>+D11+'6b-CashFlowYrs1-3'!O16</f>
        <v>0</v>
      </c>
      <c r="F11" s="79">
        <f>+E11+'6b-CashFlowYrs1-3'!AB16</f>
        <v>0</v>
      </c>
    </row>
    <row r="12" spans="3:6" x14ac:dyDescent="0.15">
      <c r="C12" s="176" t="s">
        <v>249</v>
      </c>
      <c r="D12" s="79">
        <f>+'Amortization&amp;Depreciation'!C132-'Amortization&amp;Depreciation'!C133</f>
        <v>0</v>
      </c>
      <c r="E12" s="79">
        <f>+D12-'Amortization&amp;Depreciation'!C133</f>
        <v>0</v>
      </c>
      <c r="F12" s="79">
        <f>+E12-'Amortization&amp;Depreciation'!C133</f>
        <v>0</v>
      </c>
    </row>
    <row r="13" spans="3:6" x14ac:dyDescent="0.15">
      <c r="C13" s="176" t="s">
        <v>273</v>
      </c>
      <c r="D13" s="79">
        <f>+OtherStartUp-'Amortization&amp;Depreciation'!C135</f>
        <v>0</v>
      </c>
      <c r="E13" s="79">
        <f>+D13-'Amortization&amp;Depreciation'!C135</f>
        <v>0</v>
      </c>
      <c r="F13" s="79">
        <f>+E13-'Amortization&amp;Depreciation'!C135</f>
        <v>0</v>
      </c>
    </row>
    <row r="14" spans="3:6" x14ac:dyDescent="0.15">
      <c r="C14" s="141" t="s">
        <v>117</v>
      </c>
      <c r="D14" s="86" t="e">
        <f>SUM(D9:D13)</f>
        <v>#DIV/0!</v>
      </c>
      <c r="E14" s="86" t="e">
        <f>SUM(E9:E13)</f>
        <v>#DIV/0!</v>
      </c>
      <c r="F14" s="86" t="e">
        <f>SUM(F9:F13)</f>
        <v>#DIV/0!</v>
      </c>
    </row>
    <row r="15" spans="3:6" x14ac:dyDescent="0.15">
      <c r="C15" s="185"/>
      <c r="D15" s="209"/>
      <c r="E15" s="209"/>
      <c r="F15" s="209"/>
    </row>
    <row r="16" spans="3:6" x14ac:dyDescent="0.15">
      <c r="C16" s="185" t="s">
        <v>33</v>
      </c>
      <c r="D16" s="209"/>
      <c r="E16" s="209"/>
      <c r="F16" s="209"/>
    </row>
    <row r="17" spans="3:8" x14ac:dyDescent="0.15">
      <c r="C17" s="215" t="s">
        <v>255</v>
      </c>
      <c r="D17" s="79">
        <f t="shared" ref="D17:F17" si="0">Land</f>
        <v>0</v>
      </c>
      <c r="E17" s="79">
        <f t="shared" si="0"/>
        <v>0</v>
      </c>
      <c r="F17" s="79">
        <f t="shared" si="0"/>
        <v>0</v>
      </c>
    </row>
    <row r="18" spans="3:8" x14ac:dyDescent="0.15">
      <c r="C18" s="215" t="s">
        <v>333</v>
      </c>
      <c r="D18" s="79">
        <f>+'4-AdditionalInputs'!P29</f>
        <v>0</v>
      </c>
      <c r="E18" s="79">
        <f>+'4-AdditionalInputs'!P29+'4-AdditionalInputs'!Q29</f>
        <v>0</v>
      </c>
      <c r="F18" s="79">
        <f>+'4-AdditionalInputs'!P29+'4-AdditionalInputs'!Q29+'4-AdditionalInputs'!R29</f>
        <v>0</v>
      </c>
    </row>
    <row r="19" spans="3:8" x14ac:dyDescent="0.15">
      <c r="C19" s="215" t="s">
        <v>35</v>
      </c>
      <c r="D19" s="79">
        <f>+'4-AdditionalInputs'!P30</f>
        <v>0</v>
      </c>
      <c r="E19" s="79">
        <f>+'4-AdditionalInputs'!P30+'4-AdditionalInputs'!Q30</f>
        <v>0</v>
      </c>
      <c r="F19" s="79">
        <f>+'4-AdditionalInputs'!P30+'4-AdditionalInputs'!Q30+'4-AdditionalInputs'!R30</f>
        <v>0</v>
      </c>
    </row>
    <row r="20" spans="3:8" x14ac:dyDescent="0.15">
      <c r="C20" s="215" t="s">
        <v>2</v>
      </c>
      <c r="D20" s="79">
        <f>+'4-AdditionalInputs'!P31</f>
        <v>0</v>
      </c>
      <c r="E20" s="79">
        <f>+'4-AdditionalInputs'!P31+'4-AdditionalInputs'!Q31</f>
        <v>0</v>
      </c>
      <c r="F20" s="79">
        <f>+'4-AdditionalInputs'!P31+'4-AdditionalInputs'!Q31+'4-AdditionalInputs'!R31</f>
        <v>0</v>
      </c>
    </row>
    <row r="21" spans="3:8" x14ac:dyDescent="0.15">
      <c r="C21" s="215" t="s">
        <v>36</v>
      </c>
      <c r="D21" s="79">
        <f>+'4-AdditionalInputs'!P32</f>
        <v>0</v>
      </c>
      <c r="E21" s="79">
        <f>+'4-AdditionalInputs'!P32+'4-AdditionalInputs'!Q32</f>
        <v>0</v>
      </c>
      <c r="F21" s="79">
        <f>+'4-AdditionalInputs'!P32+'4-AdditionalInputs'!Q32+'4-AdditionalInputs'!R32</f>
        <v>0</v>
      </c>
    </row>
    <row r="22" spans="3:8" x14ac:dyDescent="0.15">
      <c r="C22" s="215" t="s">
        <v>3</v>
      </c>
      <c r="D22" s="79">
        <f>+'4-AdditionalInputs'!P33</f>
        <v>0</v>
      </c>
      <c r="E22" s="79">
        <f>+'4-AdditionalInputs'!P33+'4-AdditionalInputs'!Q33</f>
        <v>0</v>
      </c>
      <c r="F22" s="79">
        <f>+'4-AdditionalInputs'!P33+'4-AdditionalInputs'!Q33+'4-AdditionalInputs'!R33</f>
        <v>0</v>
      </c>
    </row>
    <row r="23" spans="3:8" x14ac:dyDescent="0.15">
      <c r="C23" s="215" t="s">
        <v>257</v>
      </c>
      <c r="D23" s="79">
        <f>+'4-AdditionalInputs'!P34</f>
        <v>0</v>
      </c>
      <c r="E23" s="79">
        <f>+'4-AdditionalInputs'!P34+'4-AdditionalInputs'!Q34</f>
        <v>0</v>
      </c>
      <c r="F23" s="79">
        <f>+'4-AdditionalInputs'!P34+'4-AdditionalInputs'!Q34+'4-AdditionalInputs'!R34</f>
        <v>0</v>
      </c>
    </row>
    <row r="24" spans="3:8" x14ac:dyDescent="0.15">
      <c r="C24" s="100" t="s">
        <v>38</v>
      </c>
      <c r="D24" s="86">
        <f>SUM(D17:D23)</f>
        <v>0</v>
      </c>
      <c r="E24" s="86">
        <f t="shared" ref="E24:F24" si="1">SUM(E17:E23)</f>
        <v>0</v>
      </c>
      <c r="F24" s="86">
        <f t="shared" si="1"/>
        <v>0</v>
      </c>
    </row>
    <row r="25" spans="3:8" x14ac:dyDescent="0.15">
      <c r="C25" s="185" t="s">
        <v>282</v>
      </c>
      <c r="D25" s="50">
        <f>'Amortization&amp;Depreciation'!O119</f>
        <v>0</v>
      </c>
      <c r="E25" s="50">
        <f>+D25+'Amortization&amp;Depreciation'!O123</f>
        <v>0</v>
      </c>
      <c r="F25" s="50">
        <f>E25+'Amortization&amp;Depreciation'!O127</f>
        <v>0</v>
      </c>
    </row>
    <row r="26" spans="3:8" x14ac:dyDescent="0.15">
      <c r="C26" s="81" t="s">
        <v>10</v>
      </c>
      <c r="D26" s="50" t="e">
        <f>INT(D24+D14-D25)</f>
        <v>#DIV/0!</v>
      </c>
      <c r="E26" s="50" t="e">
        <f t="shared" ref="E26:F26" si="2">INT(E24+E14-E25)</f>
        <v>#DIV/0!</v>
      </c>
      <c r="F26" s="50" t="e">
        <f t="shared" si="2"/>
        <v>#DIV/0!</v>
      </c>
    </row>
    <row r="27" spans="3:8" x14ac:dyDescent="0.15">
      <c r="C27" s="185"/>
      <c r="D27" s="209"/>
      <c r="E27" s="209"/>
      <c r="F27" s="209"/>
    </row>
    <row r="28" spans="3:8" ht="14" thickBot="1" x14ac:dyDescent="0.2">
      <c r="C28" s="326" t="s">
        <v>254</v>
      </c>
      <c r="D28" s="326"/>
      <c r="E28" s="326"/>
      <c r="F28" s="326"/>
    </row>
    <row r="29" spans="3:8" ht="13" thickTop="1" x14ac:dyDescent="0.15">
      <c r="C29" s="350" t="s">
        <v>129</v>
      </c>
      <c r="D29" s="351"/>
      <c r="E29" s="351"/>
      <c r="F29" s="351"/>
    </row>
    <row r="30" spans="3:8" x14ac:dyDescent="0.15">
      <c r="C30" s="215" t="s">
        <v>260</v>
      </c>
      <c r="D30" s="79" t="e">
        <f>+'7a-IncomeStatementYear1'!O31-'6a-CashFlowYear1'!O18</f>
        <v>#REF!</v>
      </c>
      <c r="E30" s="79" t="e">
        <f>+D30+'7b-IncomeStatementYrs1-3'!E30-'6b-CashFlowYrs1-3'!O17</f>
        <v>#REF!</v>
      </c>
      <c r="F30" s="79" t="e">
        <f>+E30+'7b-IncomeStatementYrs1-3'!G30-'6b-CashFlowYrs1-3'!AB17</f>
        <v>#REF!</v>
      </c>
    </row>
    <row r="31" spans="3:8" x14ac:dyDescent="0.15">
      <c r="C31" s="215" t="s">
        <v>277</v>
      </c>
      <c r="D31" s="79">
        <f>+'Amortization&amp;Depreciation'!N17</f>
        <v>0</v>
      </c>
      <c r="E31" s="79">
        <f>+'Amortization&amp;Depreciation'!N21</f>
        <v>0</v>
      </c>
      <c r="F31" s="79">
        <f>+'Amortization&amp;Depreciation'!N25</f>
        <v>0</v>
      </c>
      <c r="G31" s="216"/>
      <c r="H31" s="216"/>
    </row>
    <row r="32" spans="3:8" x14ac:dyDescent="0.15">
      <c r="C32" s="215" t="s">
        <v>278</v>
      </c>
      <c r="D32" s="217" t="e">
        <f>+'Amortization&amp;Depreciation'!N37</f>
        <v>#NUM!</v>
      </c>
      <c r="E32" s="217" t="e">
        <f>+'Amortization&amp;Depreciation'!N41</f>
        <v>#NUM!</v>
      </c>
      <c r="F32" s="217" t="e">
        <f>+'Amortization&amp;Depreciation'!N45</f>
        <v>#NUM!</v>
      </c>
      <c r="G32" s="216"/>
      <c r="H32" s="216"/>
    </row>
    <row r="33" spans="3:8" x14ac:dyDescent="0.15">
      <c r="C33" s="215" t="s">
        <v>279</v>
      </c>
      <c r="D33" s="217" t="e">
        <f>+'Amortization&amp;Depreciation'!N57</f>
        <v>#NUM!</v>
      </c>
      <c r="E33" s="217" t="e">
        <f>+'Amortization&amp;Depreciation'!N61</f>
        <v>#NUM!</v>
      </c>
      <c r="F33" s="217" t="e">
        <f>+'Amortization&amp;Depreciation'!N65</f>
        <v>#NUM!</v>
      </c>
      <c r="G33" s="216"/>
      <c r="H33" s="216"/>
    </row>
    <row r="34" spans="3:8" x14ac:dyDescent="0.15">
      <c r="C34" s="215" t="s">
        <v>280</v>
      </c>
      <c r="D34" s="217" t="e">
        <f>+'Amortization&amp;Depreciation'!N77</f>
        <v>#NUM!</v>
      </c>
      <c r="E34" s="217" t="e">
        <f>+'Amortization&amp;Depreciation'!N81</f>
        <v>#NUM!</v>
      </c>
      <c r="F34" s="217" t="e">
        <f>+'Amortization&amp;Depreciation'!N85</f>
        <v>#NUM!</v>
      </c>
      <c r="G34" s="216"/>
      <c r="H34" s="216"/>
    </row>
    <row r="35" spans="3:8" x14ac:dyDescent="0.15">
      <c r="C35" s="215" t="s">
        <v>281</v>
      </c>
      <c r="D35" s="217" t="e">
        <f>+'Amortization&amp;Depreciation'!N97</f>
        <v>#NUM!</v>
      </c>
      <c r="E35" s="217" t="e">
        <f>+'Amortization&amp;Depreciation'!N101</f>
        <v>#NUM!</v>
      </c>
      <c r="F35" s="217" t="e">
        <f>+'Amortization&amp;Depreciation'!N105</f>
        <v>#NUM!</v>
      </c>
      <c r="G35" s="216"/>
      <c r="H35" s="216"/>
    </row>
    <row r="36" spans="3:8" x14ac:dyDescent="0.15">
      <c r="C36" s="215" t="s">
        <v>190</v>
      </c>
      <c r="D36" s="217" t="e">
        <f>+'6a-CashFlowYear1'!N34</f>
        <v>#DIV/0!</v>
      </c>
      <c r="E36" s="217" t="e">
        <f>+'6b-CashFlowYrs1-3'!N33</f>
        <v>#DIV/0!</v>
      </c>
      <c r="F36" s="217" t="e">
        <f>+'6b-CashFlowYrs1-3'!AA33</f>
        <v>#DIV/0!</v>
      </c>
      <c r="G36" s="216"/>
      <c r="H36" s="216"/>
    </row>
    <row r="37" spans="3:8" x14ac:dyDescent="0.15">
      <c r="C37" s="100" t="s">
        <v>166</v>
      </c>
      <c r="D37" s="218" t="e">
        <f>SUM(D30:D36)</f>
        <v>#REF!</v>
      </c>
      <c r="E37" s="218" t="e">
        <f>SUM(E30:E36)</f>
        <v>#REF!</v>
      </c>
      <c r="F37" s="218" t="e">
        <f>SUM(F30:F36)</f>
        <v>#REF!</v>
      </c>
    </row>
    <row r="38" spans="3:8" x14ac:dyDescent="0.15">
      <c r="C38" s="185" t="s">
        <v>251</v>
      </c>
      <c r="D38" s="209"/>
      <c r="E38" s="209"/>
      <c r="F38" s="209"/>
    </row>
    <row r="39" spans="3:8" x14ac:dyDescent="0.15">
      <c r="C39" s="215" t="s">
        <v>252</v>
      </c>
      <c r="D39" s="79">
        <f>OwnerEquity+OutsideInvest</f>
        <v>0</v>
      </c>
      <c r="E39" s="79">
        <f>OwnerEquity+OutsideInvest</f>
        <v>0</v>
      </c>
      <c r="F39" s="79">
        <f>OwnerEquity+OutsideInvest</f>
        <v>0</v>
      </c>
    </row>
    <row r="40" spans="3:8" x14ac:dyDescent="0.15">
      <c r="C40" s="215" t="s">
        <v>253</v>
      </c>
      <c r="D40" s="79" t="e">
        <f>'7b-IncomeStatementYrs1-3'!C67</f>
        <v>#REF!</v>
      </c>
      <c r="E40" s="79" t="e">
        <f>D40+NetIncomeY2</f>
        <v>#REF!</v>
      </c>
      <c r="F40" s="79" t="e">
        <f>E40+NetIncomeY3</f>
        <v>#REF!</v>
      </c>
    </row>
    <row r="41" spans="3:8" x14ac:dyDescent="0.15">
      <c r="C41" s="215" t="s">
        <v>285</v>
      </c>
      <c r="D41" s="79">
        <f>'6a-CashFlowYear1'!O28+'6a-CashFlowYear1'!O25</f>
        <v>0</v>
      </c>
      <c r="E41" s="79">
        <f>+D41+'6b-CashFlowYrs1-3'!O27+'6b-CashFlowYrs1-3'!O24</f>
        <v>0</v>
      </c>
      <c r="F41" s="79">
        <f>+E41+'6b-CashFlowYrs1-3'!AB27+'6b-CashFlowYrs1-3'!AB24</f>
        <v>0</v>
      </c>
    </row>
    <row r="42" spans="3:8" x14ac:dyDescent="0.15">
      <c r="C42" s="100" t="s">
        <v>186</v>
      </c>
      <c r="D42" s="86" t="e">
        <f>+D39+D40-D41</f>
        <v>#REF!</v>
      </c>
      <c r="E42" s="86" t="e">
        <f t="shared" ref="E42:F42" si="3">+E39+E40-E41</f>
        <v>#REF!</v>
      </c>
      <c r="F42" s="86" t="e">
        <f t="shared" si="3"/>
        <v>#REF!</v>
      </c>
    </row>
    <row r="43" spans="3:8" x14ac:dyDescent="0.15">
      <c r="C43" s="44" t="s">
        <v>11</v>
      </c>
      <c r="D43" s="50" t="e">
        <f>INT(D37+D42)</f>
        <v>#REF!</v>
      </c>
      <c r="E43" s="50" t="e">
        <f t="shared" ref="E43:F43" si="4">INT(E37+E42)</f>
        <v>#REF!</v>
      </c>
      <c r="F43" s="50" t="e">
        <f t="shared" si="4"/>
        <v>#REF!</v>
      </c>
    </row>
    <row r="44" spans="3:8" x14ac:dyDescent="0.15">
      <c r="C44" s="7"/>
      <c r="D44" s="219"/>
      <c r="E44" s="219"/>
      <c r="F44" s="219"/>
    </row>
    <row r="45" spans="3:8" x14ac:dyDescent="0.15">
      <c r="C45" s="732" t="s">
        <v>18</v>
      </c>
      <c r="D45" s="50" t="e">
        <f>D26-D43</f>
        <v>#DIV/0!</v>
      </c>
      <c r="E45" s="50" t="e">
        <f>E26-E43</f>
        <v>#DIV/0!</v>
      </c>
      <c r="F45" s="50" t="e">
        <f>F26-F43</f>
        <v>#DIV/0!</v>
      </c>
    </row>
    <row r="46" spans="3:8" x14ac:dyDescent="0.15">
      <c r="C46" s="732"/>
      <c r="D46" s="69" t="e">
        <f>IF(D45=0,"Balanced!", "Warning: Not Balanced")</f>
        <v>#DIV/0!</v>
      </c>
      <c r="E46" s="69" t="e">
        <f>IF(E45=0,"Balanced!", "Warning: Not Balanced")</f>
        <v>#DIV/0!</v>
      </c>
      <c r="F46" s="69" t="e">
        <f>IF(F45=0,"Balanced!", "Warning: Not Balanced")</f>
        <v>#DIV/0!</v>
      </c>
    </row>
  </sheetData>
  <sheetProtection algorithmName="SHA-512" hashValue="cLG+fFK/DxltCnuGEeNvGkGjiuzhiFZ6CDb9RuWJPr9YN14n6WCLrt5ZgUfg2xhb/fUWv+lKFxH+TjUFiyWDoA==" saltValue="Qc3cL5Ix2ix1BFtfwiHz2Q==" spinCount="100000" sheet="1" objects="1" scenarios="1" formatColumns="0" formatRows="0"/>
  <mergeCells count="1">
    <mergeCell ref="C45:C46"/>
  </mergeCells>
  <phoneticPr fontId="3" type="noConversion"/>
  <conditionalFormatting sqref="D9:F14">
    <cfRule type="expression" dxfId="25" priority="4" stopIfTrue="1">
      <formula>ISERROR(D9)</formula>
    </cfRule>
  </conditionalFormatting>
  <conditionalFormatting sqref="D17:F26">
    <cfRule type="expression" dxfId="24" priority="9" stopIfTrue="1">
      <formula>ISERROR(D17)</formula>
    </cfRule>
  </conditionalFormatting>
  <conditionalFormatting sqref="D30:F31">
    <cfRule type="expression" dxfId="23" priority="3" stopIfTrue="1">
      <formula>ISERROR(D30)</formula>
    </cfRule>
  </conditionalFormatting>
  <conditionalFormatting sqref="D32:F37">
    <cfRule type="containsBlanks" dxfId="22" priority="35" stopIfTrue="1">
      <formula>LEN(TRIM(D32))=0</formula>
    </cfRule>
    <cfRule type="notContainsBlanks" dxfId="21" priority="34" stopIfTrue="1">
      <formula>LEN(TRIM(D32))&gt;0</formula>
    </cfRule>
    <cfRule type="cellIs" dxfId="20" priority="33" stopIfTrue="1" operator="equal">
      <formula>#DIV/0!</formula>
    </cfRule>
  </conditionalFormatting>
  <conditionalFormatting sqref="D43:F43">
    <cfRule type="expression" dxfId="19" priority="14" stopIfTrue="1">
      <formula>ISERROR(D43)</formula>
    </cfRule>
  </conditionalFormatting>
  <conditionalFormatting sqref="D45:F45">
    <cfRule type="expression" dxfId="18" priority="13" stopIfTrue="1">
      <formula>ISERROR(D45)</formula>
    </cfRule>
  </conditionalFormatting>
  <conditionalFormatting sqref="D46:F46">
    <cfRule type="containsText" dxfId="17" priority="1" operator="containsText" text="Warning:">
      <formula>NOT(ISERROR(SEARCH("Warning:",D46)))</formula>
    </cfRule>
  </conditionalFormatting>
  <printOptions horizontalCentered="1" verticalCentered="1"/>
  <pageMargins left="0.25" right="0.25" top="0.75" bottom="0.75" header="0.3" footer="0.3"/>
  <pageSetup scale="81" orientation="landscape"/>
  <headerFooter scaleWithDoc="0">
    <oddHeader>&amp;C&amp;"Gill Sans MT,Regular"&amp;12Balance Sheet Years 1-3</oddHeader>
    <oddFooter>&amp;L&amp;"Gill Sans MT,Regular"&amp;12&amp;F&amp;C&amp;"Gill Sans MT,Regular"&amp;12&amp;A&amp;R&amp;"Gill Sans MT,Regular"&amp;12&amp;D &amp;T</oddFooter>
  </headerFooter>
  <rowBreaks count="1" manualBreakCount="1">
    <brk id="43" max="16383" man="1"/>
  </rowBreaks>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tabColor rgb="FF339966"/>
    <pageSetUpPr fitToPage="1"/>
  </sheetPr>
  <dimension ref="A2:K48"/>
  <sheetViews>
    <sheetView workbookViewId="0">
      <selection activeCell="C10" sqref="C10"/>
    </sheetView>
  </sheetViews>
  <sheetFormatPr baseColWidth="10" defaultColWidth="9.1640625" defaultRowHeight="12" x14ac:dyDescent="0.15"/>
  <cols>
    <col min="1" max="1" width="9.1640625" style="5"/>
    <col min="2" max="2" width="36.5" style="5" customWidth="1"/>
    <col min="3" max="3" width="17" style="5" bestFit="1" customWidth="1"/>
    <col min="4" max="4" width="14.83203125" style="17" bestFit="1" customWidth="1"/>
    <col min="5" max="16384" width="9.1640625" style="5"/>
  </cols>
  <sheetData>
    <row r="2" spans="2:7" x14ac:dyDescent="0.15">
      <c r="B2" s="152" t="s">
        <v>330</v>
      </c>
      <c r="E2" s="257"/>
      <c r="F2" s="257"/>
      <c r="G2" s="257"/>
    </row>
    <row r="3" spans="2:7" x14ac:dyDescent="0.15">
      <c r="B3" s="49"/>
      <c r="E3" s="257"/>
      <c r="F3" s="257"/>
      <c r="G3" s="257"/>
    </row>
    <row r="4" spans="2:7" x14ac:dyDescent="0.15">
      <c r="B4" s="152" t="s">
        <v>119</v>
      </c>
      <c r="C4" s="9" t="s">
        <v>120</v>
      </c>
    </row>
    <row r="5" spans="2:7" x14ac:dyDescent="0.15">
      <c r="B5" s="5" t="str">
        <f>IF(ISBLANK(Directions!C6), "Owner", Directions!C6)</f>
        <v>Owner</v>
      </c>
      <c r="C5" s="5" t="str">
        <f>IF(ISBLANK(Directions!D6), "Company 1", Directions!D6)</f>
        <v>Company 1</v>
      </c>
      <c r="D5" s="5"/>
    </row>
    <row r="6" spans="2:7" x14ac:dyDescent="0.15">
      <c r="D6" s="5"/>
    </row>
    <row r="7" spans="2:7" x14ac:dyDescent="0.15">
      <c r="B7" s="230"/>
      <c r="C7" s="231"/>
      <c r="D7" s="5"/>
    </row>
    <row r="8" spans="2:7" ht="13" thickBot="1" x14ac:dyDescent="0.2">
      <c r="B8" s="711" t="s">
        <v>222</v>
      </c>
      <c r="C8" s="711"/>
      <c r="D8" s="5"/>
    </row>
    <row r="9" spans="2:7" ht="13" thickTop="1" x14ac:dyDescent="0.15">
      <c r="B9" s="344" t="s">
        <v>124</v>
      </c>
      <c r="C9" s="352" t="e">
        <f>'7b-IncomeStatementYrs1-3'!C31</f>
        <v>#REF!</v>
      </c>
      <c r="D9" s="5"/>
    </row>
    <row r="10" spans="2:7" x14ac:dyDescent="0.15">
      <c r="B10" s="176" t="s">
        <v>105</v>
      </c>
      <c r="C10" s="136" t="e">
        <f>'7b-IncomeStatementYrs1-3'!C18</f>
        <v>#REF!</v>
      </c>
      <c r="D10" s="5"/>
    </row>
    <row r="11" spans="2:7" x14ac:dyDescent="0.15">
      <c r="B11" s="24" t="s">
        <v>223</v>
      </c>
      <c r="C11" s="296" t="e">
        <f>IF(C10&gt;0, C9/C10, 0)</f>
        <v>#REF!</v>
      </c>
      <c r="D11" s="5"/>
    </row>
    <row r="12" spans="2:7" ht="13" thickBot="1" x14ac:dyDescent="0.2">
      <c r="B12" s="711" t="s">
        <v>224</v>
      </c>
      <c r="C12" s="711"/>
      <c r="D12" s="232"/>
      <c r="E12" s="18"/>
    </row>
    <row r="13" spans="2:7" ht="29.25" customHeight="1" thickTop="1" x14ac:dyDescent="0.15">
      <c r="B13" s="303" t="s">
        <v>202</v>
      </c>
      <c r="C13" s="353">
        <f>'2a-PayrollYear1'!R25</f>
        <v>0</v>
      </c>
      <c r="D13" s="232"/>
      <c r="E13" s="18"/>
    </row>
    <row r="14" spans="2:7" ht="29.25" customHeight="1" x14ac:dyDescent="0.15">
      <c r="B14" s="7" t="s">
        <v>125</v>
      </c>
      <c r="C14" s="233" t="e">
        <f>'5a-OpExYear1'!O38</f>
        <v>#NUM!</v>
      </c>
      <c r="D14" s="232"/>
      <c r="E14" s="18"/>
    </row>
    <row r="15" spans="2:7" x14ac:dyDescent="0.15">
      <c r="B15" s="24" t="s">
        <v>225</v>
      </c>
      <c r="C15" s="421" t="e">
        <f>SUM(C13:C14)</f>
        <v>#NUM!</v>
      </c>
      <c r="D15" s="232"/>
      <c r="E15" s="18"/>
    </row>
    <row r="16" spans="2:7" ht="13" thickBot="1" x14ac:dyDescent="0.2">
      <c r="B16" s="711" t="s">
        <v>210</v>
      </c>
      <c r="C16" s="711"/>
      <c r="D16" s="232"/>
      <c r="E16" s="18"/>
    </row>
    <row r="17" spans="2:11" ht="29.25" customHeight="1" thickTop="1" x14ac:dyDescent="0.15">
      <c r="B17" s="344" t="s">
        <v>226</v>
      </c>
      <c r="C17" s="354" t="e">
        <f>C11</f>
        <v>#REF!</v>
      </c>
      <c r="D17" s="232"/>
      <c r="E17" s="18"/>
    </row>
    <row r="18" spans="2:11" ht="29.25" customHeight="1" x14ac:dyDescent="0.15">
      <c r="B18" s="176" t="s">
        <v>224</v>
      </c>
      <c r="C18" s="297" t="e">
        <f>C15</f>
        <v>#NUM!</v>
      </c>
      <c r="D18" s="232"/>
      <c r="E18" s="18"/>
    </row>
    <row r="19" spans="2:11" ht="29.25" customHeight="1" x14ac:dyDescent="0.15">
      <c r="B19" s="24" t="s">
        <v>329</v>
      </c>
      <c r="C19" s="126" t="e">
        <f>IF(C11=0,0, C15/C11)</f>
        <v>#REF!</v>
      </c>
      <c r="D19" s="232"/>
      <c r="E19" s="18"/>
    </row>
    <row r="20" spans="2:11" ht="13" x14ac:dyDescent="0.15">
      <c r="B20" s="249" t="s">
        <v>289</v>
      </c>
      <c r="C20" s="234" t="e">
        <f>C19/12</f>
        <v>#REF!</v>
      </c>
      <c r="D20" s="235"/>
      <c r="E20" s="18"/>
    </row>
    <row r="21" spans="2:11" x14ac:dyDescent="0.15">
      <c r="C21" s="236"/>
      <c r="D21" s="235"/>
      <c r="E21" s="18"/>
    </row>
    <row r="22" spans="2:11" x14ac:dyDescent="0.15">
      <c r="C22" s="237"/>
      <c r="D22" s="235"/>
      <c r="E22" s="18"/>
    </row>
    <row r="23" spans="2:11" x14ac:dyDescent="0.15">
      <c r="B23" s="18"/>
      <c r="C23" s="238"/>
      <c r="D23" s="235"/>
      <c r="E23" s="18"/>
    </row>
    <row r="24" spans="2:11" x14ac:dyDescent="0.15">
      <c r="B24" s="239"/>
      <c r="C24" s="240"/>
      <c r="D24" s="241"/>
      <c r="E24" s="18"/>
    </row>
    <row r="25" spans="2:11" x14ac:dyDescent="0.15">
      <c r="B25" s="239"/>
      <c r="C25" s="242"/>
      <c r="D25" s="241"/>
      <c r="E25" s="18"/>
    </row>
    <row r="26" spans="2:11" x14ac:dyDescent="0.15">
      <c r="B26" s="8"/>
      <c r="C26" s="240"/>
      <c r="D26" s="243"/>
      <c r="E26" s="18"/>
    </row>
    <row r="27" spans="2:11" x14ac:dyDescent="0.15">
      <c r="B27" s="8"/>
      <c r="C27" s="240"/>
      <c r="D27" s="243"/>
      <c r="E27" s="18"/>
      <c r="J27" s="9"/>
      <c r="K27" s="9"/>
    </row>
    <row r="28" spans="2:11" x14ac:dyDescent="0.15">
      <c r="B28" s="8"/>
      <c r="C28" s="240"/>
      <c r="D28" s="243"/>
      <c r="E28" s="18"/>
    </row>
    <row r="29" spans="2:11" x14ac:dyDescent="0.15">
      <c r="B29" s="8"/>
      <c r="C29" s="240"/>
      <c r="D29" s="243"/>
      <c r="E29" s="18"/>
    </row>
    <row r="30" spans="2:11" x14ac:dyDescent="0.15">
      <c r="B30" s="8"/>
      <c r="C30" s="240"/>
      <c r="D30" s="243"/>
      <c r="E30" s="18"/>
    </row>
    <row r="31" spans="2:11" x14ac:dyDescent="0.15">
      <c r="B31" s="8"/>
      <c r="C31" s="240"/>
      <c r="D31" s="243"/>
      <c r="E31" s="18"/>
    </row>
    <row r="32" spans="2:11" x14ac:dyDescent="0.15">
      <c r="B32" s="8"/>
      <c r="C32" s="240"/>
      <c r="D32" s="243"/>
      <c r="E32" s="18"/>
    </row>
    <row r="33" spans="1:5" x14ac:dyDescent="0.15">
      <c r="B33" s="8"/>
      <c r="C33" s="240"/>
      <c r="D33" s="243"/>
      <c r="E33" s="18"/>
    </row>
    <row r="34" spans="1:5" x14ac:dyDescent="0.15">
      <c r="B34" s="8"/>
      <c r="C34" s="240"/>
      <c r="D34" s="243"/>
      <c r="E34" s="18"/>
    </row>
    <row r="35" spans="1:5" x14ac:dyDescent="0.15">
      <c r="B35" s="8"/>
      <c r="C35" s="240"/>
      <c r="D35" s="243"/>
      <c r="E35" s="18"/>
    </row>
    <row r="36" spans="1:5" x14ac:dyDescent="0.15">
      <c r="B36" s="8"/>
      <c r="C36" s="240"/>
      <c r="D36" s="243"/>
      <c r="E36" s="18"/>
    </row>
    <row r="37" spans="1:5" x14ac:dyDescent="0.15">
      <c r="B37" s="8"/>
      <c r="C37" s="240"/>
      <c r="D37" s="243"/>
      <c r="E37" s="18"/>
    </row>
    <row r="38" spans="1:5" x14ac:dyDescent="0.15">
      <c r="B38" s="8"/>
      <c r="C38" s="240"/>
      <c r="D38" s="243"/>
      <c r="E38" s="8"/>
    </row>
    <row r="39" spans="1:5" x14ac:dyDescent="0.15">
      <c r="B39" s="8"/>
      <c r="C39" s="240"/>
      <c r="D39" s="244"/>
      <c r="E39" s="8"/>
    </row>
    <row r="40" spans="1:5" x14ac:dyDescent="0.15">
      <c r="B40" s="239"/>
      <c r="C40" s="245"/>
      <c r="D40" s="246"/>
      <c r="E40" s="8"/>
    </row>
    <row r="41" spans="1:5" x14ac:dyDescent="0.15">
      <c r="B41" s="239"/>
      <c r="C41" s="245"/>
      <c r="D41" s="246"/>
      <c r="E41" s="8"/>
    </row>
    <row r="42" spans="1:5" x14ac:dyDescent="0.15">
      <c r="B42" s="9"/>
      <c r="C42" s="247"/>
      <c r="D42" s="246"/>
      <c r="E42" s="8"/>
    </row>
    <row r="43" spans="1:5" x14ac:dyDescent="0.15">
      <c r="D43" s="248"/>
      <c r="E43" s="8"/>
    </row>
    <row r="44" spans="1:5" x14ac:dyDescent="0.15">
      <c r="B44" s="239"/>
      <c r="C44" s="247"/>
      <c r="D44" s="246"/>
      <c r="E44" s="8"/>
    </row>
    <row r="45" spans="1:5" x14ac:dyDescent="0.15">
      <c r="A45" s="8"/>
      <c r="B45" s="8"/>
      <c r="C45" s="8"/>
      <c r="D45" s="8"/>
      <c r="E45" s="8"/>
    </row>
    <row r="46" spans="1:5" x14ac:dyDescent="0.15">
      <c r="B46" s="8"/>
      <c r="C46" s="8"/>
      <c r="D46" s="16"/>
      <c r="E46" s="8"/>
    </row>
    <row r="47" spans="1:5" x14ac:dyDescent="0.15">
      <c r="B47" s="8"/>
      <c r="C47" s="8"/>
      <c r="D47" s="16"/>
      <c r="E47" s="8"/>
    </row>
    <row r="48" spans="1:5" x14ac:dyDescent="0.15">
      <c r="B48" s="8"/>
      <c r="C48" s="8"/>
      <c r="D48" s="16"/>
      <c r="E48" s="8"/>
    </row>
  </sheetData>
  <sheetProtection password="CC3D" sheet="1" objects="1" scenarios="1" formatColumns="0" formatRows="0"/>
  <mergeCells count="3">
    <mergeCell ref="B8:C8"/>
    <mergeCell ref="B12:C12"/>
    <mergeCell ref="B16:C16"/>
  </mergeCells>
  <phoneticPr fontId="3" type="noConversion"/>
  <printOptions horizontalCentered="1"/>
  <pageMargins left="0.25" right="0.25" top="0.75" bottom="0.75" header="0.3" footer="0.3"/>
  <pageSetup orientation="landscape"/>
  <headerFooter scaleWithDoc="0">
    <oddHeader>&amp;C&amp;"Gill Sans MT,Regular"&amp;12Breakeven Analysis</oddHeader>
    <oddFooter>&amp;L&amp;"Gill Sans MT,Regular"&amp;12&amp;F&amp;C&amp;"Gill Sans MT,Regular"&amp;12&amp;A&amp;R&amp;"Gill Sans MT,Regular"&amp;12&amp;D &amp;T</oddFooter>
  </headerFooter>
  <drawing r:id="rId1"/>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tabColor rgb="FF339966"/>
    <pageSetUpPr fitToPage="1"/>
  </sheetPr>
  <dimension ref="A1:H33"/>
  <sheetViews>
    <sheetView workbookViewId="0">
      <selection activeCell="F4" sqref="F4"/>
    </sheetView>
  </sheetViews>
  <sheetFormatPr baseColWidth="10" defaultColWidth="17.5" defaultRowHeight="12" x14ac:dyDescent="0.15"/>
  <cols>
    <col min="1" max="1" width="9.33203125" style="43" customWidth="1"/>
    <col min="2" max="2" width="39.83203125" style="43" customWidth="1"/>
    <col min="3" max="3" width="15" style="43" bestFit="1" customWidth="1"/>
    <col min="4" max="4" width="10.5" style="43" bestFit="1" customWidth="1"/>
    <col min="5" max="5" width="12.33203125" style="43" bestFit="1" customWidth="1"/>
    <col min="6" max="6" width="17.33203125" style="43" bestFit="1" customWidth="1"/>
    <col min="7" max="7" width="12.33203125" style="43" customWidth="1"/>
    <col min="8" max="16384" width="17.5" style="43"/>
  </cols>
  <sheetData>
    <row r="1" spans="1:7" x14ac:dyDescent="0.15">
      <c r="A1" s="9"/>
      <c r="B1" s="9"/>
    </row>
    <row r="2" spans="1:7" x14ac:dyDescent="0.15">
      <c r="B2" s="52" t="s">
        <v>219</v>
      </c>
    </row>
    <row r="3" spans="1:7" x14ac:dyDescent="0.15">
      <c r="B3" s="228"/>
    </row>
    <row r="4" spans="1:7" x14ac:dyDescent="0.15">
      <c r="B4" s="152" t="s">
        <v>119</v>
      </c>
      <c r="C4" s="152" t="s">
        <v>120</v>
      </c>
    </row>
    <row r="5" spans="1:7" x14ac:dyDescent="0.15">
      <c r="A5" s="9"/>
      <c r="B5" s="161" t="str">
        <f>IF(ISBLANK(Directions!C6), "Owner", Directions!C6)</f>
        <v>Owner</v>
      </c>
      <c r="C5" s="161" t="str">
        <f>IF(ISBLANK(Directions!D6), "Company 1", Directions!D6)</f>
        <v>Company 1</v>
      </c>
      <c r="D5" s="5"/>
      <c r="E5" s="5"/>
    </row>
    <row r="6" spans="1:7" x14ac:dyDescent="0.15">
      <c r="A6" s="9"/>
      <c r="B6" s="9"/>
      <c r="C6" s="5"/>
      <c r="D6" s="5"/>
      <c r="E6" s="5"/>
    </row>
    <row r="7" spans="1:7" ht="14" thickBot="1" x14ac:dyDescent="0.2">
      <c r="B7" s="326" t="s">
        <v>185</v>
      </c>
      <c r="C7" s="326" t="s">
        <v>156</v>
      </c>
      <c r="D7" s="326" t="s">
        <v>159</v>
      </c>
      <c r="E7" s="326" t="s">
        <v>160</v>
      </c>
      <c r="F7" s="326" t="s">
        <v>193</v>
      </c>
      <c r="G7" s="326" t="s">
        <v>32</v>
      </c>
    </row>
    <row r="8" spans="1:7" ht="13" thickTop="1" x14ac:dyDescent="0.15">
      <c r="A8" s="9"/>
      <c r="B8" s="355" t="s">
        <v>167</v>
      </c>
      <c r="C8" s="356"/>
      <c r="D8" s="357"/>
      <c r="E8" s="303"/>
      <c r="F8" s="303"/>
      <c r="G8" s="303"/>
    </row>
    <row r="9" spans="1:7" x14ac:dyDescent="0.15">
      <c r="A9" s="9"/>
      <c r="B9" s="251" t="s">
        <v>168</v>
      </c>
      <c r="C9" s="252" t="e">
        <f>IF('8-BalanceSheet'!D37=0,0,'8-BalanceSheet'!D14/'8-BalanceSheet'!D37)</f>
        <v>#REF!</v>
      </c>
      <c r="D9" s="252" t="e">
        <f>IF('8-BalanceSheet'!E37=0,0,'8-BalanceSheet'!E14/'8-BalanceSheet'!E37)</f>
        <v>#REF!</v>
      </c>
      <c r="E9" s="252" t="e">
        <f>IF('8-BalanceSheet'!F37=0,0,'8-BalanceSheet'!F14/'8-BalanceSheet'!F37)</f>
        <v>#REF!</v>
      </c>
      <c r="F9" s="253"/>
      <c r="G9" s="7"/>
    </row>
    <row r="10" spans="1:7" x14ac:dyDescent="0.15">
      <c r="A10" s="9"/>
      <c r="B10" s="251" t="s">
        <v>169</v>
      </c>
      <c r="C10" s="252" t="e">
        <f>IF('8-BalanceSheet'!D37=0,0,('8-BalanceSheet'!D9+'8-BalanceSheet'!D10)/'8-BalanceSheet'!D37)</f>
        <v>#REF!</v>
      </c>
      <c r="D10" s="252" t="e">
        <f>IF('8-BalanceSheet'!E37=0,0,('8-BalanceSheet'!E9+'8-BalanceSheet'!E10)/'8-BalanceSheet'!E37)</f>
        <v>#REF!</v>
      </c>
      <c r="E10" s="252" t="e">
        <f>IF('8-BalanceSheet'!F37=0,0,('8-BalanceSheet'!F9+'8-BalanceSheet'!F10)/'8-BalanceSheet'!F37)</f>
        <v>#REF!</v>
      </c>
      <c r="F10" s="253"/>
      <c r="G10" s="7"/>
    </row>
    <row r="11" spans="1:7" x14ac:dyDescent="0.15">
      <c r="A11" s="9"/>
      <c r="B11" s="41" t="s">
        <v>170</v>
      </c>
      <c r="C11" s="252"/>
      <c r="D11" s="252"/>
      <c r="E11" s="252"/>
      <c r="F11" s="253"/>
      <c r="G11" s="7"/>
    </row>
    <row r="12" spans="1:7" x14ac:dyDescent="0.15">
      <c r="A12" s="9"/>
      <c r="B12" s="251" t="s">
        <v>80</v>
      </c>
      <c r="C12" s="252" t="e">
        <f>IF('8-BalanceSheet'!D42=0,0,'8-BalanceSheet'!D37/'8-BalanceSheet'!D42)</f>
        <v>#REF!</v>
      </c>
      <c r="D12" s="252" t="e">
        <f>IF('8-BalanceSheet'!E42=0,0,'8-BalanceSheet'!E37/'8-BalanceSheet'!E42)</f>
        <v>#REF!</v>
      </c>
      <c r="E12" s="252" t="e">
        <f>IF('8-BalanceSheet'!F42=0,0,'8-BalanceSheet'!F37/'8-BalanceSheet'!F42)</f>
        <v>#REF!</v>
      </c>
      <c r="F12" s="253"/>
      <c r="G12" s="7"/>
    </row>
    <row r="13" spans="1:7" x14ac:dyDescent="0.15">
      <c r="A13" s="9"/>
      <c r="B13" s="251" t="s">
        <v>290</v>
      </c>
      <c r="C13" s="252" t="e">
        <f>IF('8-BalanceSheet'!D37=0,0,('7a-IncomeStatementYear1'!O68+'7a-IncomeStatementYear1'!O56)/'8-BalanceSheet'!D37)</f>
        <v>#REF!</v>
      </c>
      <c r="D13" s="252" t="e">
        <f>IF('8-BalanceSheet'!E37=0,0,('7b-IncomeStatementYrs1-3'!E55+NetIncomeY2)/'8-BalanceSheet'!E37)</f>
        <v>#REF!</v>
      </c>
      <c r="E13" s="252" t="e">
        <f>IF('8-BalanceSheet'!F37=0,0,('7b-IncomeStatementYrs1-3'!G55+NetIncomeY3)/'8-BalanceSheet'!F37)</f>
        <v>#REF!</v>
      </c>
      <c r="F13" s="253"/>
      <c r="G13" s="7"/>
    </row>
    <row r="14" spans="1:7" x14ac:dyDescent="0.15">
      <c r="A14" s="9"/>
      <c r="B14" s="41" t="s">
        <v>171</v>
      </c>
      <c r="C14" s="254"/>
      <c r="D14" s="254"/>
      <c r="E14" s="254"/>
      <c r="F14" s="7"/>
      <c r="G14" s="7"/>
    </row>
    <row r="15" spans="1:7" x14ac:dyDescent="0.15">
      <c r="A15" s="9"/>
      <c r="B15" s="251" t="s">
        <v>172</v>
      </c>
      <c r="C15" s="255">
        <v>0</v>
      </c>
      <c r="D15" s="255" t="e">
        <f>IF('7b-IncomeStatementYrs1-3'!C18=0,0,('7b-IncomeStatementYrs1-3'!E18- '7b-IncomeStatementYrs1-3'!C18)/'7b-IncomeStatementYrs1-3'!C18)</f>
        <v>#REF!</v>
      </c>
      <c r="E15" s="255" t="e">
        <f>IF('7b-IncomeStatementYrs1-3'!E18=0,0,('7b-IncomeStatementYrs1-3'!G18- '7b-IncomeStatementYrs1-3'!E18)/'7b-IncomeStatementYrs1-3'!E18)</f>
        <v>#REF!</v>
      </c>
      <c r="F15" s="155"/>
      <c r="G15" s="7"/>
    </row>
    <row r="16" spans="1:7" x14ac:dyDescent="0.15">
      <c r="A16" s="9"/>
      <c r="B16" s="251" t="s">
        <v>173</v>
      </c>
      <c r="C16" s="255" t="e">
        <f>IF('7b-IncomeStatementYrs1-3'!C18=0,0,'7b-IncomeStatementYrs1-3'!C30/'7b-IncomeStatementYrs1-3'!C18)</f>
        <v>#REF!</v>
      </c>
      <c r="D16" s="255" t="e">
        <f>IF('7b-IncomeStatementYrs1-3'!E18=0,0,'7b-IncomeStatementYrs1-3'!E30/'7b-IncomeStatementYrs1-3'!E18)</f>
        <v>#REF!</v>
      </c>
      <c r="E16" s="255" t="e">
        <f>IF('7b-IncomeStatementYrs1-3'!G18=0,0,'7b-IncomeStatementYrs1-3'!G30/'7b-IncomeStatementYrs1-3'!G18)</f>
        <v>#REF!</v>
      </c>
      <c r="F16" s="155"/>
      <c r="G16" s="7"/>
    </row>
    <row r="17" spans="1:8" x14ac:dyDescent="0.15">
      <c r="A17" s="9"/>
      <c r="B17" s="251" t="s">
        <v>174</v>
      </c>
      <c r="C17" s="255" t="e">
        <f>BreakevenAnalysis!C11</f>
        <v>#REF!</v>
      </c>
      <c r="D17" s="255" t="e">
        <f>IF('7b-IncomeStatementYrs1-3'!E18=0,0,'7b-IncomeStatementYrs1-3'!E31/'7b-IncomeStatementYrs1-3'!E18)</f>
        <v>#REF!</v>
      </c>
      <c r="E17" s="255" t="e">
        <f>IF('7b-IncomeStatementYrs1-3'!G18=0,0,'7b-IncomeStatementYrs1-3'!G31/'7b-IncomeStatementYrs1-3'!G18)</f>
        <v>#REF!</v>
      </c>
      <c r="F17" s="155"/>
      <c r="G17" s="7"/>
    </row>
    <row r="18" spans="1:8" x14ac:dyDescent="0.15">
      <c r="A18" s="9"/>
      <c r="B18" s="251" t="s">
        <v>175</v>
      </c>
      <c r="C18" s="255" t="e">
        <f>IF('7a-IncomeStatementYear1'!O19=0,0,('7a-IncomeStatementYear1'!O33+'7a-IncomeStatementYear1'!O52)/'7a-IncomeStatementYear1'!O19)</f>
        <v>#REF!</v>
      </c>
      <c r="D18" s="255" t="e">
        <f>IF('7b-IncomeStatementYrs1-3'!E18=0,0,('7b-IncomeStatementYrs1-3'!E32+'7b-IncomeStatementYrs1-3'!E51)/'7b-IncomeStatementYrs1-3'!E18)</f>
        <v>#REF!</v>
      </c>
      <c r="E18" s="255" t="e">
        <f>IF('7b-IncomeStatementYrs1-3'!G18=0,0,('7b-IncomeStatementYrs1-3'!G32+'7b-IncomeStatementYrs1-3'!G51)/'7b-IncomeStatementYrs1-3'!G18)</f>
        <v>#REF!</v>
      </c>
      <c r="F18" s="155"/>
      <c r="G18" s="7"/>
    </row>
    <row r="19" spans="1:8" x14ac:dyDescent="0.15">
      <c r="A19" s="9"/>
      <c r="B19" s="251" t="s">
        <v>176</v>
      </c>
      <c r="C19" s="255" t="e">
        <f>IF('7b-IncomeStatementYrs1-3'!C18=0,0,NetIncomeY1/'7b-IncomeStatementYrs1-3'!C18)</f>
        <v>#REF!</v>
      </c>
      <c r="D19" s="255" t="e">
        <f>IF('7b-IncomeStatementYrs1-3'!E18=0,0,NetIncomeY2/'7b-IncomeStatementYrs1-3'!E18)</f>
        <v>#REF!</v>
      </c>
      <c r="E19" s="255" t="e">
        <f>IF('7b-IncomeStatementYrs1-3'!G18=0,0,NetIncomeY3/'7b-IncomeStatementYrs1-3'!G18)</f>
        <v>#REF!</v>
      </c>
      <c r="F19" s="155"/>
      <c r="G19" s="7"/>
    </row>
    <row r="20" spans="1:8" x14ac:dyDescent="0.15">
      <c r="A20" s="9"/>
      <c r="B20" s="251" t="s">
        <v>194</v>
      </c>
      <c r="C20" s="255" t="e">
        <f>IF('8-BalanceSheet'!D42=0,0, NetIncomeY1/'8-BalanceSheet'!D42)</f>
        <v>#REF!</v>
      </c>
      <c r="D20" s="255" t="e">
        <f>IF('8-BalanceSheet'!E42=0,0, NetIncomeY2/'8-BalanceSheet'!E42)</f>
        <v>#REF!</v>
      </c>
      <c r="E20" s="255" t="e">
        <f>IF('8-BalanceSheet'!F42=0,0, NetIncomeY3/'8-BalanceSheet'!F42)</f>
        <v>#REF!</v>
      </c>
      <c r="F20" s="155"/>
      <c r="G20" s="7"/>
    </row>
    <row r="21" spans="1:8" x14ac:dyDescent="0.15">
      <c r="A21" s="9"/>
      <c r="B21" s="251" t="s">
        <v>177</v>
      </c>
      <c r="C21" s="255" t="e">
        <f>IF('8-BalanceSheet'!D26=0,0, NetIncomeY1/'8-BalanceSheet'!D26)</f>
        <v>#DIV/0!</v>
      </c>
      <c r="D21" s="255" t="e">
        <f>IF('8-BalanceSheet'!E26=0,0, NetIncomeY2/'8-BalanceSheet'!E26)</f>
        <v>#DIV/0!</v>
      </c>
      <c r="E21" s="255" t="e">
        <f>IF('8-BalanceSheet'!F26=0,0, NetIncomeY3/'8-BalanceSheet'!F26)</f>
        <v>#DIV/0!</v>
      </c>
      <c r="F21" s="155"/>
      <c r="G21" s="7"/>
    </row>
    <row r="22" spans="1:8" x14ac:dyDescent="0.15">
      <c r="A22" s="9"/>
      <c r="B22" s="251" t="s">
        <v>178</v>
      </c>
      <c r="C22" s="255" t="e">
        <f>IF('7b-IncomeStatementYrs1-3'!C18=0,0,'2b-PayrollYrs1-3'!C9/'7b-IncomeStatementYrs1-3'!C18)</f>
        <v>#REF!</v>
      </c>
      <c r="D22" s="255" t="e">
        <f>IF('7b-IncomeStatementYrs1-3'!E18=0,0,'2b-PayrollYrs1-3'!E9/'7b-IncomeStatementYrs1-3'!E18)</f>
        <v>#REF!</v>
      </c>
      <c r="E22" s="255" t="e">
        <f>IF('7b-IncomeStatementYrs1-3'!G18=0,0,'2b-PayrollYrs1-3'!G9/'7b-IncomeStatementYrs1-3'!G18)</f>
        <v>#REF!</v>
      </c>
      <c r="F22" s="155"/>
      <c r="G22" s="7"/>
    </row>
    <row r="23" spans="1:8" x14ac:dyDescent="0.15">
      <c r="A23" s="9"/>
      <c r="B23" s="41" t="s">
        <v>179</v>
      </c>
      <c r="C23" s="254"/>
      <c r="D23" s="254"/>
      <c r="E23" s="254"/>
      <c r="F23" s="7"/>
      <c r="G23" s="7"/>
    </row>
    <row r="24" spans="1:8" x14ac:dyDescent="0.15">
      <c r="A24" s="9"/>
      <c r="B24" s="251" t="s">
        <v>180</v>
      </c>
      <c r="C24" s="252" t="e">
        <f>IF('7b-IncomeStatementYrs1-3'!C18=0,0, '8-BalanceSheet'!D10/'7b-IncomeStatementYrs1-3'!C18 * 360)</f>
        <v>#REF!</v>
      </c>
      <c r="D24" s="252" t="e">
        <f>IF('7b-IncomeStatementYrs1-3'!E18=0,0,'8-BalanceSheet'!E10/'7b-IncomeStatementYrs1-3'!E18)*360</f>
        <v>#REF!</v>
      </c>
      <c r="E24" s="252" t="e">
        <f>IF('7b-IncomeStatementYrs1-3'!G18=0,0, '8-BalanceSheet'!F10/'7b-IncomeStatementYrs1-3'!G18 * 360)</f>
        <v>#REF!</v>
      </c>
      <c r="F24" s="253"/>
      <c r="G24" s="7"/>
    </row>
    <row r="25" spans="1:8" x14ac:dyDescent="0.15">
      <c r="A25" s="9"/>
      <c r="B25" s="251" t="s">
        <v>181</v>
      </c>
      <c r="C25" s="252" t="e">
        <f>IF('8-BalanceSheet'!D10=0,0,'7b-IncomeStatementYrs1-3'!C18/'8-BalanceSheet'!D10)</f>
        <v>#REF!</v>
      </c>
      <c r="D25" s="252" t="e">
        <f>IF('8-BalanceSheet'!E10=0,0,'7b-IncomeStatementYrs1-3'!E18/'8-BalanceSheet'!E10)</f>
        <v>#REF!</v>
      </c>
      <c r="E25" s="252" t="e">
        <f>IF('8-BalanceSheet'!F10=0,0,'7b-IncomeStatementYrs1-3'!G18/'8-BalanceSheet'!F10)</f>
        <v>#REF!</v>
      </c>
      <c r="F25" s="253"/>
      <c r="G25" s="7"/>
    </row>
    <row r="26" spans="1:8" x14ac:dyDescent="0.15">
      <c r="A26" s="9"/>
      <c r="B26" s="251" t="s">
        <v>182</v>
      </c>
      <c r="C26" s="252" t="e">
        <f>IF('7b-IncomeStatementYrs1-3'!C30=0,0,'8-BalanceSheet'!D11/'7b-IncomeStatementYrs1-3'!C30*360)</f>
        <v>#REF!</v>
      </c>
      <c r="D26" s="252" t="e">
        <f>IF('7b-IncomeStatementYrs1-3'!E30=0,0,'8-BalanceSheet'!E11/'7b-IncomeStatementYrs1-3'!E30*365)</f>
        <v>#REF!</v>
      </c>
      <c r="E26" s="252" t="e">
        <f>IF('7b-IncomeStatementYrs1-3'!G30=0,0,'8-BalanceSheet'!F11/'7b-IncomeStatementYrs1-3'!G30*365)</f>
        <v>#REF!</v>
      </c>
      <c r="F26" s="253"/>
      <c r="G26" s="7"/>
    </row>
    <row r="27" spans="1:8" x14ac:dyDescent="0.15">
      <c r="A27" s="9"/>
      <c r="B27" s="251" t="s">
        <v>183</v>
      </c>
      <c r="C27" s="252">
        <f>IF('8-BalanceSheet'!D11=0,0,'7b-IncomeStatementYrs1-3'!C30/'8-BalanceSheet'!D11)</f>
        <v>0</v>
      </c>
      <c r="D27" s="252">
        <f>IF('8-BalanceSheet'!E11=0,0,'7b-IncomeStatementYrs1-3'!E30/'8-BalanceSheet'!E11)</f>
        <v>0</v>
      </c>
      <c r="E27" s="252">
        <f>IF('8-BalanceSheet'!F11=0,0,'7b-IncomeStatementYrs1-3'!G30/'8-BalanceSheet'!F11)</f>
        <v>0</v>
      </c>
      <c r="F27" s="253"/>
      <c r="G27" s="7"/>
    </row>
    <row r="28" spans="1:8" x14ac:dyDescent="0.15">
      <c r="A28" s="9"/>
      <c r="B28" s="251" t="s">
        <v>184</v>
      </c>
      <c r="C28" s="252" t="e">
        <f>IF('8-BalanceSheet'!D26=0,0,'7b-IncomeStatementYrs1-3'!C18/'8-BalanceSheet'!D26)</f>
        <v>#DIV/0!</v>
      </c>
      <c r="D28" s="252" t="e">
        <f>IF('8-BalanceSheet'!E26=0,0,'7b-IncomeStatementYrs1-3'!E18/'8-BalanceSheet'!E26)</f>
        <v>#DIV/0!</v>
      </c>
      <c r="E28" s="252" t="e">
        <f>IF('8-BalanceSheet'!F26=0,0,'7b-IncomeStatementYrs1-3'!G18/'8-BalanceSheet'!F26)</f>
        <v>#DIV/0!</v>
      </c>
      <c r="F28" s="253"/>
      <c r="G28" s="7"/>
    </row>
    <row r="29" spans="1:8" x14ac:dyDescent="0.15">
      <c r="A29" s="9"/>
      <c r="B29" s="9"/>
      <c r="C29" s="17"/>
      <c r="D29" s="12"/>
      <c r="E29" s="12"/>
      <c r="F29" s="5"/>
      <c r="G29" s="5"/>
      <c r="H29" s="5"/>
    </row>
    <row r="30" spans="1:8" x14ac:dyDescent="0.15">
      <c r="A30" s="9"/>
      <c r="B30" s="12"/>
      <c r="C30" s="12"/>
      <c r="D30" s="12"/>
      <c r="E30" s="5"/>
    </row>
    <row r="31" spans="1:8" x14ac:dyDescent="0.15">
      <c r="A31" s="9"/>
      <c r="B31" s="12"/>
      <c r="C31" s="12"/>
      <c r="D31" s="12"/>
      <c r="E31" s="5"/>
    </row>
    <row r="32" spans="1:8" x14ac:dyDescent="0.15">
      <c r="A32" s="9"/>
      <c r="B32" s="12"/>
      <c r="C32" s="12"/>
      <c r="D32" s="12"/>
      <c r="E32" s="5"/>
    </row>
    <row r="33" spans="2:3" x14ac:dyDescent="0.15">
      <c r="B33" s="9"/>
      <c r="C33" s="12"/>
    </row>
  </sheetData>
  <sheetProtection password="CC3D" sheet="1" objects="1" scenarios="1" formatColumns="0" formatRows="0"/>
  <phoneticPr fontId="3" type="noConversion"/>
  <conditionalFormatting sqref="F9:F10">
    <cfRule type="containsBlanks" dxfId="16" priority="11">
      <formula>LEN(TRIM(F9))=0</formula>
    </cfRule>
  </conditionalFormatting>
  <conditionalFormatting sqref="F12:F13">
    <cfRule type="containsBlanks" dxfId="15" priority="10">
      <formula>LEN(TRIM(F12))=0</formula>
    </cfRule>
  </conditionalFormatting>
  <conditionalFormatting sqref="F15:F22">
    <cfRule type="containsBlanks" dxfId="14" priority="12">
      <formula>LEN(TRIM(F15))=0</formula>
    </cfRule>
  </conditionalFormatting>
  <conditionalFormatting sqref="F24:F28">
    <cfRule type="containsBlanks" dxfId="13" priority="9">
      <formula>LEN(TRIM(F24))=0</formula>
    </cfRule>
  </conditionalFormatting>
  <printOptions horizontalCentered="1" verticalCentered="1"/>
  <pageMargins left="0.25" right="0.25" top="0.75" bottom="0.75" header="0.3" footer="0.3"/>
  <pageSetup orientation="landscape"/>
  <headerFooter scaleWithDoc="0">
    <oddHeader>&amp;C&amp;"Gill Sans MT,Regular"&amp;12Financial Ratios - Year 1</oddHeader>
    <oddFooter>&amp;L&amp;"Gill Sans MT,Regular"&amp;12&amp;F&amp;C&amp;"Gill Sans MT,Regular"&amp;12&amp;A&amp;R&amp;"Gill Sans MT,Regular"&amp;12&amp;D &amp;T</oddFooter>
  </headerFooter>
  <drawing r:id="rId1"/>
  <legacyDrawing r:id="rId2"/>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1">
    <tabColor rgb="FF339966"/>
    <pageSetUpPr fitToPage="1"/>
  </sheetPr>
  <dimension ref="A1:H40"/>
  <sheetViews>
    <sheetView workbookViewId="0">
      <selection activeCell="G34" sqref="G34"/>
    </sheetView>
  </sheetViews>
  <sheetFormatPr baseColWidth="10" defaultColWidth="9.1640625" defaultRowHeight="12" x14ac:dyDescent="0.15"/>
  <cols>
    <col min="1" max="1" width="6.33203125" style="43" customWidth="1"/>
    <col min="2" max="2" width="41.1640625" style="43" customWidth="1"/>
    <col min="3" max="3" width="11.6640625" style="43" bestFit="1" customWidth="1"/>
    <col min="4" max="4" width="53.6640625" style="43" customWidth="1"/>
    <col min="5" max="5" width="9.1640625" style="43"/>
    <col min="6" max="6" width="23.33203125" style="43" bestFit="1" customWidth="1"/>
    <col min="7" max="16384" width="9.1640625" style="43"/>
  </cols>
  <sheetData>
    <row r="1" spans="1:8" x14ac:dyDescent="0.15">
      <c r="A1" s="9"/>
      <c r="B1" s="9"/>
    </row>
    <row r="2" spans="1:8" x14ac:dyDescent="0.15">
      <c r="B2" s="52" t="s">
        <v>218</v>
      </c>
    </row>
    <row r="3" spans="1:8" x14ac:dyDescent="0.15">
      <c r="B3" s="228"/>
    </row>
    <row r="4" spans="1:8" x14ac:dyDescent="0.15">
      <c r="B4" s="152" t="s">
        <v>119</v>
      </c>
      <c r="C4" s="723" t="s">
        <v>120</v>
      </c>
      <c r="D4" s="723"/>
    </row>
    <row r="5" spans="1:8" x14ac:dyDescent="0.15">
      <c r="A5" s="9"/>
      <c r="B5" s="161" t="str">
        <f>IF(ISBLANK(Directions!C6), "Owner", Directions!C6)</f>
        <v>Owner</v>
      </c>
      <c r="C5" s="733" t="str">
        <f>IF(ISBLANK(Directions!D6), "Company 1", Directions!D6)</f>
        <v>Company 1</v>
      </c>
      <c r="D5" s="733"/>
      <c r="E5" s="5"/>
      <c r="F5" s="5"/>
      <c r="G5" s="5"/>
      <c r="H5" s="5"/>
    </row>
    <row r="6" spans="1:8" x14ac:dyDescent="0.15">
      <c r="A6" s="9"/>
      <c r="B6" s="9"/>
      <c r="C6" s="5"/>
      <c r="D6" s="5"/>
      <c r="E6" s="5"/>
      <c r="F6" s="5"/>
      <c r="G6" s="5"/>
      <c r="H6" s="5"/>
    </row>
    <row r="7" spans="1:8" ht="14" thickBot="1" x14ac:dyDescent="0.2">
      <c r="B7" s="326" t="s">
        <v>61</v>
      </c>
      <c r="C7" s="326" t="s">
        <v>59</v>
      </c>
      <c r="D7" s="326" t="s">
        <v>60</v>
      </c>
      <c r="E7" s="10"/>
      <c r="F7" s="10"/>
      <c r="G7" s="5"/>
      <c r="H7" s="10"/>
    </row>
    <row r="8" spans="1:8" ht="13" thickTop="1" x14ac:dyDescent="0.15">
      <c r="A8" s="9"/>
      <c r="B8" s="303" t="s">
        <v>62</v>
      </c>
      <c r="C8" s="358">
        <f>IF('1-StartingPoint'!D42=0,0,'1-StartingPoint'!D34/'1-StartingPoint'!C31)</f>
        <v>0</v>
      </c>
      <c r="D8" s="359" t="str">
        <f>IF(C8&gt;0.2,"Owner's injection is reasonable","Owner's injection might be too low in relation to the amount of money needed")</f>
        <v>Owner's injection might be too low in relation to the amount of money needed</v>
      </c>
      <c r="E8" s="11"/>
      <c r="F8" s="11"/>
      <c r="G8" s="5"/>
      <c r="H8" s="5"/>
    </row>
    <row r="9" spans="1:8" x14ac:dyDescent="0.15">
      <c r="A9" s="9"/>
      <c r="B9" s="7" t="s">
        <v>63</v>
      </c>
      <c r="C9" s="19">
        <f>IF('1-StartingPoint'!C31=0,0,'1-StartingPoint'!C29/'1-StartingPoint'!C31)</f>
        <v>0</v>
      </c>
      <c r="D9" s="13" t="str">
        <f>IF(C9&lt;0.2,"Cash request seems reasonable with respect to total request","Cash request exceeds 20% which might be too high")</f>
        <v>Cash request seems reasonable with respect to total request</v>
      </c>
      <c r="E9" s="11"/>
      <c r="F9" s="11"/>
      <c r="G9" s="5"/>
      <c r="H9" s="5"/>
    </row>
    <row r="10" spans="1:8" x14ac:dyDescent="0.15">
      <c r="A10" s="9"/>
      <c r="B10" s="24"/>
      <c r="C10" s="250"/>
      <c r="D10" s="13"/>
      <c r="E10" s="11"/>
      <c r="F10" s="11"/>
      <c r="G10" s="5"/>
      <c r="H10" s="5"/>
    </row>
    <row r="11" spans="1:8" ht="14" thickBot="1" x14ac:dyDescent="0.2">
      <c r="A11" s="9"/>
      <c r="B11" s="326" t="s">
        <v>64</v>
      </c>
      <c r="C11" s="326" t="s">
        <v>59</v>
      </c>
      <c r="D11" s="326" t="s">
        <v>60</v>
      </c>
      <c r="E11" s="11"/>
      <c r="F11" s="11"/>
      <c r="G11" s="5"/>
      <c r="H11" s="5"/>
    </row>
    <row r="12" spans="1:8" ht="13" thickTop="1" x14ac:dyDescent="0.15">
      <c r="A12" s="9"/>
      <c r="B12" s="303" t="s">
        <v>65</v>
      </c>
      <c r="C12" s="358">
        <f>'1-StartingPoint'!E37</f>
        <v>0</v>
      </c>
      <c r="D12" s="303" t="str">
        <f>IF(C12&lt;0.06,"Interest rate may be too low for the type of loan requested","Interest rate seems reasonable")</f>
        <v>Interest rate may be too low for the type of loan requested</v>
      </c>
      <c r="E12" s="5"/>
      <c r="F12" s="5"/>
      <c r="G12" s="5"/>
      <c r="H12" s="5"/>
    </row>
    <row r="13" spans="1:8" x14ac:dyDescent="0.15">
      <c r="A13" s="9"/>
      <c r="B13" s="7" t="s">
        <v>66</v>
      </c>
      <c r="C13" s="20">
        <f>'1-StartingPoint'!F37</f>
        <v>0</v>
      </c>
      <c r="D13" s="7" t="str">
        <f>IF(C13&gt;120,"Loan term may be too high for this type of loan","Loan term seems within range for this type of loan")</f>
        <v>Loan term seems within range for this type of loan</v>
      </c>
      <c r="E13" s="12"/>
      <c r="F13" s="12"/>
      <c r="G13" s="5"/>
      <c r="H13" s="5"/>
    </row>
    <row r="14" spans="1:8" x14ac:dyDescent="0.15">
      <c r="A14" s="9"/>
      <c r="B14" s="7" t="s">
        <v>67</v>
      </c>
      <c r="C14" s="19">
        <f>'1-StartingPoint'!E38</f>
        <v>0</v>
      </c>
      <c r="D14" s="14" t="str">
        <f>IF(C14&lt;0.06,"Interest rate may be too low for type of loan requested","Interest rate seems reasonable")</f>
        <v>Interest rate may be too low for type of loan requested</v>
      </c>
      <c r="E14" s="12"/>
      <c r="F14" s="12"/>
      <c r="G14" s="5"/>
      <c r="H14" s="5"/>
    </row>
    <row r="15" spans="1:8" x14ac:dyDescent="0.15">
      <c r="A15" s="9"/>
      <c r="B15" s="7" t="s">
        <v>68</v>
      </c>
      <c r="C15" s="21">
        <f>'1-StartingPoint'!F38</f>
        <v>0</v>
      </c>
      <c r="D15" s="15" t="str">
        <f>IF(C15&gt;240,"Loan term may be too high for this type of loan","Loan term seems within range for this type of loan")</f>
        <v>Loan term seems within range for this type of loan</v>
      </c>
      <c r="E15" s="12"/>
      <c r="F15" s="12"/>
      <c r="G15" s="5"/>
      <c r="H15" s="5"/>
    </row>
    <row r="16" spans="1:8" x14ac:dyDescent="0.15">
      <c r="A16" s="9"/>
      <c r="B16" s="7" t="s">
        <v>291</v>
      </c>
      <c r="C16" s="250" t="e">
        <f>FinancialRatios!C13</f>
        <v>#REF!</v>
      </c>
      <c r="D16" s="14" t="e">
        <f>IF(C16&gt;1,"Calculated loan payments relative to operating proft may be too high","Calculated loan payments relative to operating profit seem reasonable")</f>
        <v>#REF!</v>
      </c>
      <c r="E16" s="12"/>
      <c r="F16" s="12"/>
      <c r="G16" s="5"/>
      <c r="H16" s="5"/>
    </row>
    <row r="17" spans="1:8" x14ac:dyDescent="0.15">
      <c r="A17" s="9"/>
      <c r="B17" s="24"/>
      <c r="C17" s="19"/>
      <c r="D17" s="14"/>
      <c r="E17" s="12"/>
      <c r="F17" s="12"/>
      <c r="G17" s="5"/>
      <c r="H17" s="5"/>
    </row>
    <row r="18" spans="1:8" ht="14" thickBot="1" x14ac:dyDescent="0.2">
      <c r="A18" s="9"/>
      <c r="B18" s="326" t="s">
        <v>69</v>
      </c>
      <c r="C18" s="326" t="s">
        <v>59</v>
      </c>
      <c r="D18" s="326" t="s">
        <v>60</v>
      </c>
      <c r="E18" s="12"/>
      <c r="F18" s="12"/>
      <c r="G18" s="5"/>
      <c r="H18" s="5"/>
    </row>
    <row r="19" spans="1:8" ht="13" thickTop="1" x14ac:dyDescent="0.15">
      <c r="A19" s="9"/>
      <c r="B19" s="303" t="s">
        <v>70</v>
      </c>
      <c r="C19" s="358" t="e">
        <f>BreakevenAnalysis!C11</f>
        <v>#REF!</v>
      </c>
      <c r="D19" s="360" t="e">
        <f>IF(C19&lt;0.2,"Gross margin percentage seems very low","Gross margin percentage seems reasonable")</f>
        <v>#REF!</v>
      </c>
      <c r="E19" s="12"/>
      <c r="F19" s="12"/>
      <c r="G19" s="5"/>
      <c r="H19" s="5"/>
    </row>
    <row r="20" spans="1:8" x14ac:dyDescent="0.15">
      <c r="A20" s="9"/>
      <c r="B20" s="7" t="s">
        <v>71</v>
      </c>
      <c r="C20" s="218">
        <f>'2a-PayrollYear1'!R8</f>
        <v>0</v>
      </c>
      <c r="D20" s="14" t="str">
        <f>IF(C20&gt;0,"An owner's compensation amount has been established","An owner's compensation amount has not been established")</f>
        <v>An owner's compensation amount has not been established</v>
      </c>
      <c r="E20" s="12"/>
      <c r="F20" s="12"/>
      <c r="G20" s="5"/>
      <c r="H20" s="5"/>
    </row>
    <row r="21" spans="1:8" x14ac:dyDescent="0.15">
      <c r="A21" s="9"/>
      <c r="B21" s="7" t="s">
        <v>72</v>
      </c>
      <c r="C21" s="19" t="e">
        <f>IF(NetIncomeY1=0,0,'2a-PayrollYear1'!R8/NetIncomeY1)</f>
        <v>#REF!</v>
      </c>
      <c r="D21" s="14" t="e">
        <f>IF(C21&gt;1,"Owner's compensation may be too high relative to profitability of business","Owner's compensation seems reasonable")</f>
        <v>#REF!</v>
      </c>
      <c r="E21" s="12"/>
      <c r="F21" s="12"/>
      <c r="G21" s="5"/>
      <c r="H21" s="5"/>
    </row>
    <row r="22" spans="1:8" x14ac:dyDescent="0.15">
      <c r="A22" s="9"/>
      <c r="B22" s="7" t="s">
        <v>73</v>
      </c>
      <c r="C22" s="19" t="e">
        <f>IF('7b-IncomeStatementYrs1-3'!C18=0,0,'7b-IncomeStatementYrs1-3'!C34/'7b-IncomeStatementYrs1-3'!C18)</f>
        <v>#REF!</v>
      </c>
      <c r="D22" s="14" t="e">
        <f>IF(C22&lt;0.02,"Advertising as a percent of sales may be too low","Advertising as a percent of sales seems reasonable")</f>
        <v>#REF!</v>
      </c>
      <c r="E22" s="12"/>
      <c r="F22" s="12"/>
      <c r="G22" s="5"/>
      <c r="H22" s="5"/>
    </row>
    <row r="23" spans="1:8" x14ac:dyDescent="0.15">
      <c r="A23" s="9"/>
      <c r="B23" s="7" t="s">
        <v>74</v>
      </c>
      <c r="C23" s="218" t="e">
        <f>NetIncomeY1</f>
        <v>#REF!</v>
      </c>
      <c r="D23" s="14" t="e">
        <f>IF(C23&lt;=0,"The business is not showing a profit","The business is showing a profit")</f>
        <v>#REF!</v>
      </c>
      <c r="E23" s="12"/>
      <c r="F23" s="12"/>
      <c r="G23" s="5"/>
      <c r="H23" s="5"/>
    </row>
    <row r="24" spans="1:8" x14ac:dyDescent="0.15">
      <c r="A24" s="9"/>
      <c r="B24" s="7" t="s">
        <v>75</v>
      </c>
      <c r="C24" s="19" t="e">
        <f>IF('7b-IncomeStatementYrs1-3'!C18=0,0,NetIncomeY1/'7b-IncomeStatementYrs1-3'!C18)</f>
        <v>#REF!</v>
      </c>
      <c r="D24" s="14" t="e">
        <f>IF(C24&gt;0.2,"The projection may be too aggressive in stating profitability","The projection does not seem highly unreasonable")</f>
        <v>#REF!</v>
      </c>
      <c r="E24" s="12"/>
      <c r="F24" s="12"/>
      <c r="G24" s="5"/>
      <c r="H24" s="5"/>
    </row>
    <row r="25" spans="1:8" x14ac:dyDescent="0.15">
      <c r="A25" s="9"/>
      <c r="B25" s="24"/>
      <c r="C25" s="22"/>
      <c r="D25" s="14"/>
      <c r="E25" s="12"/>
      <c r="F25" s="12"/>
      <c r="G25" s="5"/>
      <c r="H25" s="5"/>
    </row>
    <row r="26" spans="1:8" ht="14" thickBot="1" x14ac:dyDescent="0.2">
      <c r="A26" s="9"/>
      <c r="B26" s="326" t="s">
        <v>76</v>
      </c>
      <c r="C26" s="326" t="s">
        <v>59</v>
      </c>
      <c r="D26" s="326" t="s">
        <v>60</v>
      </c>
      <c r="E26" s="12"/>
      <c r="F26" s="12"/>
      <c r="G26" s="5"/>
      <c r="H26" s="5"/>
    </row>
    <row r="27" spans="1:8" ht="13" thickTop="1" x14ac:dyDescent="0.15">
      <c r="A27" s="9"/>
      <c r="B27" s="303" t="s">
        <v>77</v>
      </c>
      <c r="C27" s="361" t="e">
        <f>'6a-CashFlowYear1'!O32</f>
        <v>#DIV/0!</v>
      </c>
      <c r="D27" s="360" t="e">
        <f>IF(C27&lt;0,"The financial projection does not provide the desired level of cash flow","The financial projection provides the desired level of cash flow")</f>
        <v>#DIV/0!</v>
      </c>
      <c r="E27" s="12"/>
      <c r="F27" s="12"/>
      <c r="G27" s="5"/>
      <c r="H27" s="5"/>
    </row>
    <row r="28" spans="1:8" x14ac:dyDescent="0.15">
      <c r="A28" s="9"/>
      <c r="B28" s="7" t="s">
        <v>292</v>
      </c>
      <c r="C28" s="86" t="e">
        <f>+C27</f>
        <v>#DIV/0!</v>
      </c>
      <c r="D28" s="14" t="e">
        <f>IF(C28&gt;0,"The business will need at least this level of a line of credit","The business doesn't seem to require a line of credit")</f>
        <v>#DIV/0!</v>
      </c>
      <c r="E28" s="12"/>
      <c r="F28" s="12"/>
      <c r="G28" s="5"/>
      <c r="H28" s="5"/>
    </row>
    <row r="29" spans="1:8" x14ac:dyDescent="0.15">
      <c r="A29" s="9"/>
      <c r="B29" s="7" t="s">
        <v>78</v>
      </c>
      <c r="C29" s="19" t="e">
        <f>IF('7b-IncomeStatementYrs1-3'!C18=0,0,'8-BalanceSheet'!D10/'7b-IncomeStatementYrs1-3'!C18)</f>
        <v>#REF!</v>
      </c>
      <c r="D29" s="14" t="e">
        <f>IF(C29&gt;0.3,"Accounts receivable amounts seem high","Accounts receivable amount as a percent of sales seems reasonable")</f>
        <v>#REF!</v>
      </c>
      <c r="E29" s="12"/>
      <c r="F29" s="12"/>
      <c r="G29" s="5"/>
      <c r="H29" s="5"/>
    </row>
    <row r="30" spans="1:8" x14ac:dyDescent="0.15">
      <c r="A30" s="9"/>
      <c r="B30" s="24"/>
      <c r="C30" s="24"/>
      <c r="D30" s="14"/>
      <c r="E30" s="12"/>
      <c r="F30" s="12"/>
      <c r="G30" s="5"/>
      <c r="H30" s="5"/>
    </row>
    <row r="31" spans="1:8" ht="14" thickBot="1" x14ac:dyDescent="0.2">
      <c r="A31" s="9"/>
      <c r="B31" s="326" t="s">
        <v>79</v>
      </c>
      <c r="C31" s="326" t="s">
        <v>59</v>
      </c>
      <c r="D31" s="326" t="s">
        <v>60</v>
      </c>
      <c r="E31" s="12"/>
      <c r="F31" s="12"/>
      <c r="G31" s="5"/>
      <c r="H31" s="5"/>
    </row>
    <row r="32" spans="1:8" ht="13" thickTop="1" x14ac:dyDescent="0.15">
      <c r="A32" s="9"/>
      <c r="B32" s="303" t="s">
        <v>293</v>
      </c>
      <c r="C32" s="362" t="e">
        <f>'8-BalanceSheet'!D45</f>
        <v>#DIV/0!</v>
      </c>
      <c r="D32" s="360" t="e">
        <f>IF(C32&lt;&gt;0,"The balance sheet is not in balance","The balance sheet does balance")</f>
        <v>#DIV/0!</v>
      </c>
      <c r="E32" s="12"/>
      <c r="F32" s="12"/>
      <c r="G32" s="5"/>
      <c r="H32" s="5"/>
    </row>
    <row r="33" spans="1:8" x14ac:dyDescent="0.15">
      <c r="A33" s="9"/>
      <c r="B33" s="7" t="s">
        <v>80</v>
      </c>
      <c r="C33" s="19" t="e">
        <f>FinancialRatios!C12</f>
        <v>#REF!</v>
      </c>
      <c r="D33" s="14" t="e">
        <f>IF(C33&lt;=2, "Very comfortable", IF(C33&lt;=3, "Reasonable", IF(C33&lt;=4, "Getting debt heavy", "Debt heavy")))</f>
        <v>#REF!</v>
      </c>
      <c r="E33" s="12"/>
      <c r="F33" s="12"/>
      <c r="G33" s="5"/>
      <c r="H33" s="5"/>
    </row>
    <row r="34" spans="1:8" x14ac:dyDescent="0.15">
      <c r="A34" s="9"/>
      <c r="B34" s="24"/>
      <c r="C34" s="22"/>
      <c r="D34" s="14"/>
      <c r="E34" s="12"/>
      <c r="F34" s="12"/>
      <c r="G34" s="5"/>
      <c r="H34" s="5"/>
    </row>
    <row r="35" spans="1:8" ht="14" thickBot="1" x14ac:dyDescent="0.2">
      <c r="A35" s="9"/>
      <c r="B35" s="326" t="s">
        <v>57</v>
      </c>
      <c r="C35" s="326" t="s">
        <v>59</v>
      </c>
      <c r="D35" s="326" t="s">
        <v>60</v>
      </c>
      <c r="E35" s="12"/>
      <c r="F35" s="12"/>
      <c r="G35" s="5"/>
      <c r="H35" s="5"/>
    </row>
    <row r="36" spans="1:8" ht="13" thickTop="1" x14ac:dyDescent="0.15">
      <c r="A36" s="9"/>
      <c r="B36" s="303" t="s">
        <v>294</v>
      </c>
      <c r="C36" s="362" t="e">
        <f>'7b-IncomeStatementYrs1-3'!C18-BreakevenAnalysis!C19</f>
        <v>#REF!</v>
      </c>
      <c r="D36" s="360" t="e">
        <f>IF(C36&gt;0,"The sales projection exceeds the projected break-even sales level","The sales projection is less than the break-even amount")</f>
        <v>#REF!</v>
      </c>
      <c r="E36" s="12"/>
      <c r="F36" s="12"/>
      <c r="G36" s="5"/>
      <c r="H36" s="5"/>
    </row>
    <row r="37" spans="1:8" x14ac:dyDescent="0.15">
      <c r="A37" s="9"/>
      <c r="B37" s="9"/>
      <c r="C37" s="12"/>
      <c r="D37" s="12"/>
      <c r="E37" s="12"/>
      <c r="F37" s="12"/>
      <c r="G37" s="5"/>
      <c r="H37" s="5"/>
    </row>
    <row r="38" spans="1:8" x14ac:dyDescent="0.15">
      <c r="A38" s="9"/>
      <c r="B38" s="9"/>
      <c r="C38" s="12"/>
      <c r="D38" s="12"/>
      <c r="E38" s="12"/>
      <c r="F38" s="12"/>
      <c r="G38" s="5"/>
      <c r="H38" s="5"/>
    </row>
    <row r="39" spans="1:8" x14ac:dyDescent="0.15">
      <c r="A39" s="9"/>
      <c r="B39" s="9"/>
      <c r="C39" s="12"/>
      <c r="D39" s="12"/>
      <c r="E39" s="12"/>
      <c r="F39" s="12"/>
      <c r="G39" s="5"/>
      <c r="H39" s="5"/>
    </row>
    <row r="40" spans="1:8" x14ac:dyDescent="0.15">
      <c r="B40" s="9"/>
      <c r="C40" s="12"/>
      <c r="D40" s="12"/>
    </row>
  </sheetData>
  <sheetProtection password="CC3D" sheet="1" objects="1" scenarios="1" formatColumns="0" formatRows="0"/>
  <mergeCells count="2">
    <mergeCell ref="C4:D4"/>
    <mergeCell ref="C5:D5"/>
  </mergeCells>
  <phoneticPr fontId="3" type="noConversion"/>
  <printOptions horizontalCentered="1" verticalCentered="1"/>
  <pageMargins left="0.25" right="0.25" top="0.75" bottom="0.75" header="0.3" footer="0.3"/>
  <pageSetup orientation="landscape"/>
  <headerFooter scaleWithDoc="0">
    <oddHeader>&amp;C&amp;"Gill Sans MT,Regular"&amp;12Diagnostic Tools - Year 1</oddHeader>
    <oddFooter>&amp;L&amp;"Gill Sans MT,Regular"&amp;12&amp;F&amp;C&amp;"Gill Sans MT,Regular"&amp;12&amp;A&amp;R&amp;"Gill Sans MT,Regular"&amp;12&amp;D &amp;T</oddFooter>
  </headerFooter>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FFC95B"/>
    <pageSetUpPr fitToPage="1"/>
  </sheetPr>
  <dimension ref="B2:L53"/>
  <sheetViews>
    <sheetView workbookViewId="0">
      <selection activeCell="C9" sqref="C9"/>
    </sheetView>
  </sheetViews>
  <sheetFormatPr baseColWidth="10" defaultColWidth="8.83203125" defaultRowHeight="13" x14ac:dyDescent="0.15"/>
  <cols>
    <col min="1" max="1" width="8.83203125" style="366"/>
    <col min="2" max="2" width="35" style="366" bestFit="1" customWidth="1"/>
    <col min="3" max="3" width="20.6640625" style="366" customWidth="1"/>
    <col min="4" max="4" width="21.5" style="366" bestFit="1" customWidth="1"/>
    <col min="5" max="5" width="11.1640625" style="366" bestFit="1" customWidth="1"/>
    <col min="6" max="6" width="22.33203125" style="366" customWidth="1"/>
    <col min="7" max="7" width="19.6640625" style="366" bestFit="1" customWidth="1"/>
    <col min="8" max="8" width="16.5" style="366" customWidth="1"/>
    <col min="9" max="16384" width="8.83203125" style="366"/>
  </cols>
  <sheetData>
    <row r="2" spans="2:7" x14ac:dyDescent="0.15">
      <c r="B2" s="707" t="s">
        <v>201</v>
      </c>
      <c r="C2" s="707"/>
      <c r="D2" s="707"/>
    </row>
    <row r="3" spans="2:7" x14ac:dyDescent="0.15">
      <c r="B3" s="367"/>
      <c r="C3" s="367"/>
    </row>
    <row r="4" spans="2:7" ht="18" customHeight="1" x14ac:dyDescent="0.15">
      <c r="B4" s="368" t="s">
        <v>119</v>
      </c>
      <c r="C4" s="369" t="s">
        <v>120</v>
      </c>
    </row>
    <row r="5" spans="2:7" x14ac:dyDescent="0.15">
      <c r="B5" s="370" t="str">
        <f>IF(ISBLANK(Directions!C6), "Owner", Directions!C6)</f>
        <v>Owner</v>
      </c>
      <c r="C5" s="366" t="str">
        <f>IF(ISBLANK(Directions!D6), "Company 1", Directions!D6)</f>
        <v>Company 1</v>
      </c>
    </row>
    <row r="6" spans="2:7" x14ac:dyDescent="0.15">
      <c r="D6" s="370"/>
      <c r="E6" s="370"/>
      <c r="F6" s="370"/>
      <c r="G6" s="370"/>
    </row>
    <row r="7" spans="2:7" ht="17.25" customHeight="1" thickBot="1" x14ac:dyDescent="0.2">
      <c r="B7" s="371" t="s">
        <v>33</v>
      </c>
      <c r="C7" s="371" t="s">
        <v>1</v>
      </c>
      <c r="D7" s="371" t="s">
        <v>147</v>
      </c>
      <c r="E7" s="687" t="s">
        <v>32</v>
      </c>
      <c r="F7" s="687"/>
      <c r="G7" s="372"/>
    </row>
    <row r="8" spans="2:7" ht="14" thickTop="1" x14ac:dyDescent="0.15">
      <c r="B8" s="373"/>
      <c r="C8" s="374"/>
      <c r="D8" s="374"/>
      <c r="E8" s="688"/>
      <c r="F8" s="689"/>
      <c r="G8" s="375"/>
    </row>
    <row r="9" spans="2:7" x14ac:dyDescent="0.15">
      <c r="B9" s="376" t="s">
        <v>34</v>
      </c>
      <c r="C9" s="377"/>
      <c r="D9" s="434" t="s">
        <v>334</v>
      </c>
      <c r="E9" s="690"/>
      <c r="F9" s="691"/>
      <c r="G9" s="375"/>
    </row>
    <row r="10" spans="2:7" x14ac:dyDescent="0.15">
      <c r="B10" s="376" t="s">
        <v>331</v>
      </c>
      <c r="C10" s="378"/>
      <c r="D10" s="379">
        <v>20</v>
      </c>
      <c r="E10" s="692"/>
      <c r="F10" s="693"/>
      <c r="G10" s="380"/>
    </row>
    <row r="11" spans="2:7" x14ac:dyDescent="0.15">
      <c r="B11" s="376" t="s">
        <v>35</v>
      </c>
      <c r="C11" s="440"/>
      <c r="D11" s="379">
        <v>7</v>
      </c>
      <c r="E11" s="692"/>
      <c r="F11" s="693"/>
      <c r="G11" s="380"/>
    </row>
    <row r="12" spans="2:7" x14ac:dyDescent="0.15">
      <c r="B12" s="376" t="s">
        <v>2</v>
      </c>
      <c r="C12" s="440"/>
      <c r="D12" s="379">
        <v>7</v>
      </c>
      <c r="E12" s="692"/>
      <c r="F12" s="693"/>
      <c r="G12" s="380"/>
    </row>
    <row r="13" spans="2:7" x14ac:dyDescent="0.15">
      <c r="B13" s="376" t="s">
        <v>36</v>
      </c>
      <c r="C13" s="440"/>
      <c r="D13" s="379">
        <v>5</v>
      </c>
      <c r="E13" s="692"/>
      <c r="F13" s="693"/>
      <c r="G13" s="380"/>
    </row>
    <row r="14" spans="2:7" x14ac:dyDescent="0.15">
      <c r="B14" s="376" t="s">
        <v>3</v>
      </c>
      <c r="C14" s="440"/>
      <c r="D14" s="379">
        <v>5</v>
      </c>
      <c r="E14" s="692"/>
      <c r="F14" s="693"/>
      <c r="G14" s="380"/>
    </row>
    <row r="15" spans="2:7" x14ac:dyDescent="0.15">
      <c r="B15" s="376" t="s">
        <v>16</v>
      </c>
      <c r="C15" s="440"/>
      <c r="D15" s="379">
        <v>5</v>
      </c>
      <c r="E15" s="692"/>
      <c r="F15" s="693"/>
      <c r="G15" s="380"/>
    </row>
    <row r="16" spans="2:7" x14ac:dyDescent="0.15">
      <c r="B16" s="381" t="s">
        <v>38</v>
      </c>
      <c r="C16" s="382">
        <f>SUM(C9:C15)</f>
        <v>0</v>
      </c>
      <c r="D16" s="383"/>
      <c r="E16" s="697"/>
      <c r="F16" s="693"/>
      <c r="G16" s="380"/>
    </row>
    <row r="17" spans="2:7" x14ac:dyDescent="0.15">
      <c r="B17" s="698"/>
      <c r="C17" s="699"/>
      <c r="D17" s="699"/>
      <c r="E17" s="699"/>
      <c r="F17" s="700"/>
      <c r="G17" s="384"/>
    </row>
    <row r="18" spans="2:7" ht="14" thickBot="1" x14ac:dyDescent="0.2">
      <c r="B18" s="385" t="s">
        <v>39</v>
      </c>
      <c r="C18" s="386" t="s">
        <v>1</v>
      </c>
      <c r="D18" s="694" t="s">
        <v>32</v>
      </c>
      <c r="E18" s="695"/>
      <c r="F18" s="696"/>
    </row>
    <row r="19" spans="2:7" ht="14" thickTop="1" x14ac:dyDescent="0.15">
      <c r="B19" s="387" t="s">
        <v>40</v>
      </c>
      <c r="C19" s="388"/>
      <c r="D19" s="701"/>
      <c r="E19" s="702"/>
      <c r="F19" s="703"/>
    </row>
    <row r="20" spans="2:7" x14ac:dyDescent="0.15">
      <c r="B20" s="381" t="s">
        <v>41</v>
      </c>
      <c r="C20" s="378"/>
      <c r="D20" s="684"/>
      <c r="E20" s="685"/>
      <c r="F20" s="686"/>
    </row>
    <row r="21" spans="2:7" x14ac:dyDescent="0.15">
      <c r="B21" s="381" t="s">
        <v>4</v>
      </c>
      <c r="C21" s="378"/>
      <c r="D21" s="684"/>
      <c r="E21" s="685"/>
      <c r="F21" s="686"/>
    </row>
    <row r="22" spans="2:7" x14ac:dyDescent="0.15">
      <c r="B22" s="381" t="s">
        <v>42</v>
      </c>
      <c r="C22" s="378"/>
      <c r="D22" s="684"/>
      <c r="E22" s="685"/>
      <c r="F22" s="686"/>
    </row>
    <row r="23" spans="2:7" x14ac:dyDescent="0.15">
      <c r="B23" s="381" t="s">
        <v>43</v>
      </c>
      <c r="C23" s="378"/>
      <c r="D23" s="684"/>
      <c r="E23" s="685"/>
      <c r="F23" s="686"/>
    </row>
    <row r="24" spans="2:7" x14ac:dyDescent="0.15">
      <c r="B24" s="381" t="s">
        <v>44</v>
      </c>
      <c r="C24" s="378"/>
      <c r="D24" s="684"/>
      <c r="E24" s="685"/>
      <c r="F24" s="686"/>
    </row>
    <row r="25" spans="2:7" x14ac:dyDescent="0.15">
      <c r="B25" s="381" t="s">
        <v>5</v>
      </c>
      <c r="C25" s="378"/>
      <c r="D25" s="684"/>
      <c r="E25" s="685"/>
      <c r="F25" s="686"/>
      <c r="G25" s="389"/>
    </row>
    <row r="26" spans="2:7" x14ac:dyDescent="0.15">
      <c r="B26" s="381" t="s">
        <v>45</v>
      </c>
      <c r="C26" s="378"/>
      <c r="D26" s="684"/>
      <c r="E26" s="685"/>
      <c r="F26" s="686"/>
    </row>
    <row r="27" spans="2:7" x14ac:dyDescent="0.15">
      <c r="B27" s="381" t="s">
        <v>6</v>
      </c>
      <c r="C27" s="378"/>
      <c r="D27" s="684"/>
      <c r="E27" s="685"/>
      <c r="F27" s="686"/>
    </row>
    <row r="28" spans="2:7" x14ac:dyDescent="0.15">
      <c r="B28" s="381" t="s">
        <v>46</v>
      </c>
      <c r="C28" s="378"/>
      <c r="D28" s="684"/>
      <c r="E28" s="685"/>
      <c r="F28" s="686"/>
    </row>
    <row r="29" spans="2:7" x14ac:dyDescent="0.15">
      <c r="B29" s="390" t="s">
        <v>47</v>
      </c>
      <c r="C29" s="378"/>
      <c r="D29" s="684"/>
      <c r="E29" s="685"/>
      <c r="F29" s="686"/>
    </row>
    <row r="30" spans="2:7" x14ac:dyDescent="0.15">
      <c r="B30" s="381" t="s">
        <v>48</v>
      </c>
      <c r="C30" s="391">
        <f>SUM(C19:C29)</f>
        <v>0</v>
      </c>
      <c r="D30" s="684"/>
      <c r="E30" s="685"/>
      <c r="F30" s="686"/>
    </row>
    <row r="31" spans="2:7" ht="14" thickBot="1" x14ac:dyDescent="0.2">
      <c r="B31" s="381" t="s">
        <v>7</v>
      </c>
      <c r="C31" s="392">
        <f>C16+C30</f>
        <v>0</v>
      </c>
      <c r="D31" s="708"/>
      <c r="E31" s="709"/>
      <c r="F31" s="710"/>
    </row>
    <row r="32" spans="2:7" x14ac:dyDescent="0.15">
      <c r="B32" s="368"/>
      <c r="C32" s="393"/>
      <c r="D32" s="370"/>
      <c r="E32" s="370"/>
      <c r="F32" s="394"/>
      <c r="G32" s="394"/>
    </row>
    <row r="33" spans="2:12" ht="15" thickBot="1" x14ac:dyDescent="0.2">
      <c r="B33" s="371" t="s">
        <v>49</v>
      </c>
      <c r="C33" s="371" t="s">
        <v>113</v>
      </c>
      <c r="D33" s="371" t="s">
        <v>8</v>
      </c>
      <c r="E33" s="371" t="s">
        <v>12</v>
      </c>
      <c r="F33" s="371" t="s">
        <v>13</v>
      </c>
      <c r="G33" s="371" t="s">
        <v>50</v>
      </c>
      <c r="H33" s="371" t="s">
        <v>32</v>
      </c>
    </row>
    <row r="34" spans="2:12" ht="14" thickTop="1" x14ac:dyDescent="0.15">
      <c r="B34" s="387" t="s">
        <v>51</v>
      </c>
      <c r="C34" s="415">
        <f>IF($C$31=0,0,D34/$C$31)</f>
        <v>0</v>
      </c>
      <c r="D34" s="388"/>
      <c r="E34" s="374"/>
      <c r="F34" s="395"/>
      <c r="G34" s="374"/>
      <c r="H34" s="396"/>
    </row>
    <row r="35" spans="2:12" x14ac:dyDescent="0.15">
      <c r="B35" s="381" t="s">
        <v>52</v>
      </c>
      <c r="C35" s="416">
        <f>IF($C$31=0,0,D35/$C$31)</f>
        <v>0</v>
      </c>
      <c r="D35" s="378"/>
      <c r="E35" s="397"/>
      <c r="F35" s="397"/>
      <c r="G35" s="397"/>
      <c r="H35" s="398"/>
    </row>
    <row r="36" spans="2:12" x14ac:dyDescent="0.15">
      <c r="B36" s="381" t="s">
        <v>53</v>
      </c>
      <c r="C36" s="416"/>
      <c r="D36" s="397"/>
      <c r="E36" s="397"/>
      <c r="F36" s="397"/>
      <c r="G36" s="397"/>
      <c r="H36" s="398"/>
    </row>
    <row r="37" spans="2:12" x14ac:dyDescent="0.15">
      <c r="B37" s="399" t="s">
        <v>54</v>
      </c>
      <c r="C37" s="416">
        <f t="shared" ref="C37:C42" si="0">IF($C$31=0,0,D37/$C$31)</f>
        <v>0</v>
      </c>
      <c r="D37" s="378"/>
      <c r="E37" s="400"/>
      <c r="F37" s="401"/>
      <c r="G37" s="402" t="e">
        <f>PMT(E37/12,F37,-D37)</f>
        <v>#NUM!</v>
      </c>
      <c r="H37" s="398"/>
    </row>
    <row r="38" spans="2:12" x14ac:dyDescent="0.15">
      <c r="B38" s="399" t="s">
        <v>55</v>
      </c>
      <c r="C38" s="416">
        <f t="shared" si="0"/>
        <v>0</v>
      </c>
      <c r="D38" s="378"/>
      <c r="E38" s="400"/>
      <c r="F38" s="401"/>
      <c r="G38" s="402" t="e">
        <f>PMT(E38/12,F38,-D38)</f>
        <v>#NUM!</v>
      </c>
      <c r="H38" s="398"/>
      <c r="J38" s="706" t="s">
        <v>233</v>
      </c>
      <c r="K38" s="706"/>
      <c r="L38" s="706"/>
    </row>
    <row r="39" spans="2:12" x14ac:dyDescent="0.15">
      <c r="B39" s="399" t="s">
        <v>133</v>
      </c>
      <c r="C39" s="416">
        <f t="shared" si="0"/>
        <v>0</v>
      </c>
      <c r="D39" s="378"/>
      <c r="E39" s="400"/>
      <c r="F39" s="401"/>
      <c r="G39" s="402" t="e">
        <f>PMT(E39/12,F39,-D39)</f>
        <v>#NUM!</v>
      </c>
      <c r="H39" s="398"/>
      <c r="J39" s="706"/>
      <c r="K39" s="706"/>
      <c r="L39" s="706"/>
    </row>
    <row r="40" spans="2:12" x14ac:dyDescent="0.15">
      <c r="B40" s="399" t="s">
        <v>134</v>
      </c>
      <c r="C40" s="416">
        <f t="shared" si="0"/>
        <v>0</v>
      </c>
      <c r="D40" s="378"/>
      <c r="E40" s="400"/>
      <c r="F40" s="401"/>
      <c r="G40" s="402" t="e">
        <f>PMT(E40/12,F40,-D40)</f>
        <v>#NUM!</v>
      </c>
      <c r="H40" s="398"/>
      <c r="J40" s="706"/>
      <c r="K40" s="706"/>
      <c r="L40" s="706"/>
    </row>
    <row r="41" spans="2:12" x14ac:dyDescent="0.15">
      <c r="B41" s="399" t="s">
        <v>135</v>
      </c>
      <c r="C41" s="416">
        <f t="shared" si="0"/>
        <v>0</v>
      </c>
      <c r="D41" s="378"/>
      <c r="E41" s="400"/>
      <c r="F41" s="401"/>
      <c r="G41" s="402" t="e">
        <f>PMT(E41/12,F41,-D41)</f>
        <v>#NUM!</v>
      </c>
      <c r="H41" s="403"/>
      <c r="J41" s="706"/>
      <c r="K41" s="706"/>
      <c r="L41" s="706"/>
    </row>
    <row r="42" spans="2:12" x14ac:dyDescent="0.15">
      <c r="B42" s="381" t="s">
        <v>56</v>
      </c>
      <c r="C42" s="416">
        <f t="shared" si="0"/>
        <v>0</v>
      </c>
      <c r="D42" s="404">
        <f>SUM(D34:D41)</f>
        <v>0</v>
      </c>
      <c r="E42" s="704" t="s">
        <v>244</v>
      </c>
      <c r="F42" s="705"/>
      <c r="G42" s="391" t="e">
        <f>SUM(G37:G41)</f>
        <v>#NUM!</v>
      </c>
      <c r="H42" s="398"/>
    </row>
    <row r="43" spans="2:12" x14ac:dyDescent="0.15">
      <c r="B43" s="381" t="s">
        <v>132</v>
      </c>
      <c r="C43" s="381"/>
      <c r="D43" s="404">
        <f>C31-D42</f>
        <v>0</v>
      </c>
      <c r="E43" s="698" t="str">
        <f>IF(D43&gt;0,"You require more funding (Not Balanced)",IF(D43&lt;0,"Your funding exceeds your needs (Not Balanced)","You are fully funded (Balanced)"))</f>
        <v>You are fully funded (Balanced)</v>
      </c>
      <c r="F43" s="699"/>
      <c r="G43" s="700"/>
      <c r="H43" s="396"/>
    </row>
    <row r="44" spans="2:12" x14ac:dyDescent="0.15">
      <c r="B44" s="405" t="s">
        <v>118</v>
      </c>
      <c r="C44" s="368"/>
      <c r="D44" s="368"/>
      <c r="E44" s="368"/>
      <c r="F44" s="368"/>
      <c r="G44" s="368"/>
    </row>
    <row r="45" spans="2:12" x14ac:dyDescent="0.15">
      <c r="B45" s="370"/>
      <c r="C45" s="368"/>
      <c r="D45" s="370"/>
      <c r="E45" s="370"/>
      <c r="F45" s="370"/>
    </row>
    <row r="46" spans="2:12" ht="14" thickBot="1" x14ac:dyDescent="0.2">
      <c r="B46" s="683" t="s">
        <v>215</v>
      </c>
      <c r="C46" s="683"/>
      <c r="D46" s="370"/>
      <c r="E46" s="370"/>
      <c r="F46" s="370"/>
      <c r="G46" s="370"/>
    </row>
    <row r="47" spans="2:12" ht="14" thickTop="1" x14ac:dyDescent="0.15">
      <c r="B47" s="374" t="s">
        <v>161</v>
      </c>
      <c r="C47" s="406">
        <v>0</v>
      </c>
      <c r="D47" s="370"/>
      <c r="E47" s="407"/>
      <c r="F47" s="370"/>
      <c r="G47" s="394"/>
    </row>
    <row r="48" spans="2:12" x14ac:dyDescent="0.15">
      <c r="B48" s="408" t="s">
        <v>238</v>
      </c>
      <c r="C48" s="402">
        <v>0</v>
      </c>
      <c r="D48" s="370"/>
      <c r="E48" s="407"/>
      <c r="F48" s="370"/>
      <c r="G48" s="394"/>
    </row>
    <row r="49" spans="2:7" x14ac:dyDescent="0.15">
      <c r="B49" s="408" t="s">
        <v>237</v>
      </c>
      <c r="C49" s="402">
        <v>0</v>
      </c>
      <c r="D49" s="370"/>
      <c r="E49" s="370"/>
      <c r="F49" s="370"/>
      <c r="G49" s="370"/>
    </row>
    <row r="50" spans="2:7" x14ac:dyDescent="0.15">
      <c r="B50" s="408" t="s">
        <v>239</v>
      </c>
      <c r="C50" s="402">
        <v>0</v>
      </c>
      <c r="D50" s="370"/>
      <c r="E50" s="370"/>
      <c r="F50" s="370"/>
      <c r="G50" s="370"/>
    </row>
    <row r="51" spans="2:7" x14ac:dyDescent="0.15">
      <c r="B51" s="408" t="s">
        <v>240</v>
      </c>
      <c r="C51" s="402">
        <v>0</v>
      </c>
    </row>
    <row r="52" spans="2:7" x14ac:dyDescent="0.15">
      <c r="B52" s="381" t="s">
        <v>216</v>
      </c>
      <c r="C52" s="404">
        <f>(C47+C48+C49-C50-C51)</f>
        <v>0</v>
      </c>
      <c r="D52" s="409"/>
    </row>
    <row r="53" spans="2:7" x14ac:dyDescent="0.15">
      <c r="D53" s="409"/>
    </row>
  </sheetData>
  <sheetProtection password="CC3D" sheet="1" objects="1" scenarios="1" formatColumns="0" formatRows="0"/>
  <mergeCells count="30">
    <mergeCell ref="E13:F13"/>
    <mergeCell ref="D19:F19"/>
    <mergeCell ref="E42:F42"/>
    <mergeCell ref="J38:L41"/>
    <mergeCell ref="B2:D2"/>
    <mergeCell ref="D31:F31"/>
    <mergeCell ref="D22:F22"/>
    <mergeCell ref="D20:F20"/>
    <mergeCell ref="D21:F21"/>
    <mergeCell ref="D26:F26"/>
    <mergeCell ref="D25:F25"/>
    <mergeCell ref="D24:F24"/>
    <mergeCell ref="D23:F23"/>
    <mergeCell ref="D29:F29"/>
    <mergeCell ref="B46:C46"/>
    <mergeCell ref="D27:F27"/>
    <mergeCell ref="D28:F28"/>
    <mergeCell ref="E7:F7"/>
    <mergeCell ref="E8:F8"/>
    <mergeCell ref="E9:F9"/>
    <mergeCell ref="E10:F10"/>
    <mergeCell ref="D18:F18"/>
    <mergeCell ref="E15:F15"/>
    <mergeCell ref="E16:F16"/>
    <mergeCell ref="E43:G43"/>
    <mergeCell ref="E11:F11"/>
    <mergeCell ref="E12:F12"/>
    <mergeCell ref="B17:F17"/>
    <mergeCell ref="E14:F14"/>
    <mergeCell ref="D30:F30"/>
  </mergeCells>
  <phoneticPr fontId="3" type="noConversion"/>
  <conditionalFormatting sqref="C9:C15">
    <cfRule type="containsBlanks" dxfId="121" priority="3" stopIfTrue="1">
      <formula>LEN(TRIM(C9))=0</formula>
    </cfRule>
  </conditionalFormatting>
  <conditionalFormatting sqref="C19:C29">
    <cfRule type="containsBlanks" dxfId="120" priority="2" stopIfTrue="1">
      <formula>LEN(TRIM(C19))=0</formula>
    </cfRule>
  </conditionalFormatting>
  <conditionalFormatting sqref="D10:D15">
    <cfRule type="cellIs" dxfId="119" priority="4" operator="lessThan">
      <formula>3</formula>
    </cfRule>
  </conditionalFormatting>
  <conditionalFormatting sqref="D34:D35">
    <cfRule type="containsBlanks" dxfId="118" priority="1" stopIfTrue="1">
      <formula>LEN(TRIM(D34))=0</formula>
    </cfRule>
  </conditionalFormatting>
  <conditionalFormatting sqref="D37:D41">
    <cfRule type="containsBlanks" dxfId="117" priority="28" stopIfTrue="1">
      <formula>LEN(TRIM(D37))=0</formula>
    </cfRule>
  </conditionalFormatting>
  <conditionalFormatting sqref="D43">
    <cfRule type="cellIs" dxfId="116" priority="8" operator="greaterThan">
      <formula>0</formula>
    </cfRule>
  </conditionalFormatting>
  <conditionalFormatting sqref="E43:G43">
    <cfRule type="containsText" dxfId="115" priority="7" operator="containsText" text="require">
      <formula>NOT(ISERROR(SEARCH("require",E43)))</formula>
    </cfRule>
    <cfRule type="containsText" dxfId="114" priority="6" operator="containsText" text="fully">
      <formula>NOT(ISERROR(SEARCH("fully",E43)))</formula>
    </cfRule>
  </conditionalFormatting>
  <hyperlinks>
    <hyperlink ref="J38:L41" location="'Amortization&amp;Depreciation'!A1" display="See Loan Amortization &amp; Depreciation Schedule" xr:uid="{00000000-0004-0000-0100-000000000000}"/>
  </hyperlinks>
  <printOptions horizontalCentered="1" verticalCentered="1"/>
  <pageMargins left="0.7" right="0.7" top="0.75" bottom="0.75" header="0.3" footer="0.3"/>
  <pageSetup scale="59" orientation="landscape"/>
  <headerFooter scaleWithDoc="0">
    <oddHeader>&amp;C&amp;"Gill Sans MT,Regular"&amp;12Start-Up Expenses Year 1
(Starting Balance Sheet)</oddHeader>
    <oddFooter>&amp;L&amp;"Gill Sans MT,Regular"&amp;12&amp;F&amp;C&amp;"Gill Sans MT,Regular"&amp;12&amp;A&amp;R&amp;"Gill Sans MT,Regular"&amp;12&amp;D &amp;T</oddFooter>
  </headerFooter>
  <drawing r:id="rId1"/>
  <legacyDrawing r:id="rId2"/>
  <extLst>
    <ext xmlns:mx="http://schemas.microsoft.com/office/mac/excel/2008/main" uri="{64002731-A6B0-56B0-2670-7721B7C09600}">
      <mx:PLV Mode="0" OnePage="0" WScale="0"/>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
    <tabColor rgb="FF339966"/>
  </sheetPr>
  <dimension ref="B1:P134"/>
  <sheetViews>
    <sheetView topLeftCell="A45" zoomScaleNormal="100" workbookViewId="0">
      <selection activeCell="O103" sqref="O103"/>
    </sheetView>
  </sheetViews>
  <sheetFormatPr baseColWidth="10" defaultColWidth="8.83203125" defaultRowHeight="12" x14ac:dyDescent="0.15"/>
  <cols>
    <col min="1" max="1" width="9.1640625" style="74" customWidth="1"/>
    <col min="2" max="2" width="66.1640625" style="74" bestFit="1" customWidth="1"/>
    <col min="3" max="3" width="30.5" style="74" bestFit="1" customWidth="1"/>
    <col min="4" max="6" width="9.1640625" style="74" customWidth="1"/>
    <col min="7" max="9" width="9.1640625" style="225" customWidth="1"/>
    <col min="10" max="10" width="14.83203125" style="74" customWidth="1"/>
    <col min="11" max="14" width="8.83203125" style="74"/>
    <col min="15" max="15" width="13.33203125" style="74" customWidth="1"/>
    <col min="16" max="16384" width="8.83203125" style="74"/>
  </cols>
  <sheetData>
    <row r="1" spans="2:16" x14ac:dyDescent="0.15">
      <c r="G1" s="74"/>
      <c r="H1" s="74"/>
      <c r="I1" s="74"/>
    </row>
    <row r="2" spans="2:16" ht="24" thickBot="1" x14ac:dyDescent="0.2">
      <c r="B2" s="537" t="s">
        <v>414</v>
      </c>
      <c r="C2" s="220"/>
      <c r="G2" s="74"/>
      <c r="H2" s="74"/>
      <c r="I2" s="74"/>
    </row>
    <row r="3" spans="2:16" ht="15" x14ac:dyDescent="0.2">
      <c r="B3" s="161" t="s">
        <v>350</v>
      </c>
      <c r="C3" s="161" t="s">
        <v>350</v>
      </c>
      <c r="H3" s="256"/>
      <c r="I3" s="256"/>
      <c r="J3" s="518" t="s">
        <v>527</v>
      </c>
      <c r="K3" s="654"/>
      <c r="L3" s="655"/>
      <c r="M3" s="655"/>
      <c r="N3" s="655"/>
      <c r="O3" s="668"/>
    </row>
    <row r="4" spans="2:16" ht="15.75" customHeight="1" x14ac:dyDescent="0.2">
      <c r="B4" s="496" t="str">
        <f>SalesForecastYear1!B24</f>
        <v>Classroom or program 1</v>
      </c>
      <c r="C4" s="221"/>
      <c r="H4" s="256"/>
      <c r="I4" s="256"/>
      <c r="J4" s="519"/>
      <c r="K4"/>
      <c r="L4"/>
      <c r="M4"/>
      <c r="N4"/>
      <c r="O4" s="657"/>
    </row>
    <row r="5" spans="2:16" ht="20.25" customHeight="1" thickBot="1" x14ac:dyDescent="0.25">
      <c r="B5" s="735"/>
      <c r="C5" s="736"/>
      <c r="F5" s="256"/>
      <c r="G5" s="256"/>
      <c r="H5" s="256"/>
      <c r="I5" s="256"/>
      <c r="J5" s="660"/>
      <c r="K5" s="658" t="s">
        <v>522</v>
      </c>
      <c r="L5" s="658" t="s">
        <v>523</v>
      </c>
      <c r="M5" s="658" t="s">
        <v>524</v>
      </c>
      <c r="N5"/>
      <c r="O5" s="657"/>
    </row>
    <row r="6" spans="2:16" ht="16.25" customHeight="1" thickTop="1" x14ac:dyDescent="0.2">
      <c r="B6" s="114" t="s">
        <v>108</v>
      </c>
      <c r="C6" s="363" t="s">
        <v>109</v>
      </c>
      <c r="G6" s="74"/>
      <c r="H6" s="74"/>
      <c r="I6" s="74"/>
      <c r="J6" s="660" t="s">
        <v>521</v>
      </c>
      <c r="K6" s="492">
        <v>15</v>
      </c>
      <c r="L6" s="681">
        <v>40</v>
      </c>
      <c r="M6" s="679">
        <f>K6*L6</f>
        <v>600</v>
      </c>
      <c r="N6"/>
      <c r="O6" s="657"/>
    </row>
    <row r="7" spans="2:16" ht="15.75" customHeight="1" x14ac:dyDescent="0.2">
      <c r="B7" s="226" t="s">
        <v>357</v>
      </c>
      <c r="C7" s="492"/>
      <c r="H7" s="74"/>
      <c r="I7" s="74"/>
      <c r="J7" s="660" t="s">
        <v>528</v>
      </c>
      <c r="K7" s="492">
        <v>13</v>
      </c>
      <c r="L7" s="681">
        <v>40</v>
      </c>
      <c r="M7" s="679">
        <f>K7*L7</f>
        <v>520</v>
      </c>
      <c r="N7"/>
      <c r="O7" s="657"/>
    </row>
    <row r="8" spans="2:16" ht="15.75" customHeight="1" x14ac:dyDescent="0.2">
      <c r="B8" s="226" t="s">
        <v>355</v>
      </c>
      <c r="C8" s="505">
        <f>0.1*C7</f>
        <v>0</v>
      </c>
      <c r="H8" s="74"/>
      <c r="I8" s="74"/>
      <c r="J8" s="660" t="s">
        <v>8</v>
      </c>
      <c r="K8" s="658"/>
      <c r="L8" s="659">
        <f>+L6+L7</f>
        <v>80</v>
      </c>
      <c r="M8" s="679">
        <f>+M6+M7</f>
        <v>1120</v>
      </c>
      <c r="N8"/>
      <c r="O8" s="657"/>
    </row>
    <row r="9" spans="2:16" ht="15.75" customHeight="1" thickBot="1" x14ac:dyDescent="0.25">
      <c r="B9" s="226" t="s">
        <v>358</v>
      </c>
      <c r="C9" s="222"/>
      <c r="H9" s="74"/>
      <c r="I9" s="74"/>
      <c r="J9" s="661"/>
      <c r="O9" s="656"/>
      <c r="P9"/>
    </row>
    <row r="10" spans="2:16" ht="14.25" customHeight="1" x14ac:dyDescent="0.2">
      <c r="B10" s="226" t="s">
        <v>401</v>
      </c>
      <c r="C10" s="487">
        <v>4.34</v>
      </c>
      <c r="G10" s="74"/>
      <c r="H10" s="74"/>
      <c r="I10" s="74"/>
      <c r="J10" s="669"/>
      <c r="K10" s="670"/>
      <c r="L10" s="670" t="s">
        <v>526</v>
      </c>
      <c r="M10" s="670"/>
      <c r="N10" s="670" t="s">
        <v>522</v>
      </c>
      <c r="O10" s="671"/>
      <c r="P10"/>
    </row>
    <row r="11" spans="2:16" ht="14.25" customHeight="1" thickBot="1" x14ac:dyDescent="0.25">
      <c r="B11" s="223" t="s">
        <v>350</v>
      </c>
      <c r="C11" s="222" t="s">
        <v>350</v>
      </c>
      <c r="E11" s="734" t="s">
        <v>227</v>
      </c>
      <c r="F11" s="734"/>
      <c r="G11" s="734"/>
      <c r="H11" s="74"/>
      <c r="I11" s="74"/>
      <c r="J11" s="662" t="s">
        <v>525</v>
      </c>
      <c r="K11" s="663"/>
      <c r="L11" s="666">
        <f>L8</f>
        <v>80</v>
      </c>
      <c r="M11" s="663"/>
      <c r="N11" s="664">
        <f>M8/L8</f>
        <v>14</v>
      </c>
      <c r="O11" s="665"/>
      <c r="P11"/>
    </row>
    <row r="12" spans="2:16" ht="12" customHeight="1" x14ac:dyDescent="0.2">
      <c r="B12" s="226" t="s">
        <v>350</v>
      </c>
      <c r="C12" s="166"/>
      <c r="E12" s="734"/>
      <c r="F12" s="734"/>
      <c r="G12" s="734"/>
      <c r="H12" s="74"/>
      <c r="I12" s="74"/>
      <c r="P12"/>
    </row>
    <row r="13" spans="2:16" ht="12" customHeight="1" x14ac:dyDescent="0.2">
      <c r="B13" s="227" t="str">
        <f>B4</f>
        <v>Classroom or program 1</v>
      </c>
      <c r="C13" s="34">
        <f>SUM(C7+C8)*C9*C10</f>
        <v>0</v>
      </c>
      <c r="E13" s="734"/>
      <c r="F13" s="734"/>
      <c r="G13" s="734"/>
      <c r="H13" s="74"/>
      <c r="I13" s="74"/>
      <c r="P13"/>
    </row>
    <row r="14" spans="2:16" ht="15" x14ac:dyDescent="0.2">
      <c r="B14" s="224"/>
      <c r="C14" s="70"/>
      <c r="G14" s="74"/>
      <c r="H14" s="74"/>
      <c r="I14" s="74"/>
      <c r="M14" s="667" t="s">
        <v>350</v>
      </c>
      <c r="P14"/>
    </row>
    <row r="15" spans="2:16" ht="15" hidden="1" x14ac:dyDescent="0.2">
      <c r="G15" s="74"/>
      <c r="H15" s="74"/>
      <c r="I15" s="74"/>
      <c r="P15"/>
    </row>
    <row r="16" spans="2:16" ht="16" x14ac:dyDescent="0.2">
      <c r="B16" s="496" t="str">
        <f>SalesForecastYear1!B33</f>
        <v>Classroom or program 2</v>
      </c>
      <c r="C16" s="221"/>
      <c r="G16" s="74"/>
      <c r="H16" s="74"/>
      <c r="I16" s="74"/>
      <c r="P16"/>
    </row>
    <row r="17" spans="2:16" ht="16" thickBot="1" x14ac:dyDescent="0.25">
      <c r="B17" s="735"/>
      <c r="C17" s="736"/>
      <c r="G17" s="74"/>
      <c r="H17" s="74"/>
      <c r="I17" s="74"/>
      <c r="J17"/>
      <c r="K17"/>
      <c r="L17"/>
      <c r="M17"/>
      <c r="N17"/>
      <c r="O17"/>
      <c r="P17"/>
    </row>
    <row r="18" spans="2:16" ht="13" thickTop="1" x14ac:dyDescent="0.15">
      <c r="B18" s="114" t="s">
        <v>108</v>
      </c>
      <c r="C18" s="363" t="s">
        <v>109</v>
      </c>
      <c r="G18" s="74"/>
      <c r="H18" s="74"/>
      <c r="I18" s="74"/>
    </row>
    <row r="19" spans="2:16" x14ac:dyDescent="0.15">
      <c r="B19" s="100" t="s">
        <v>350</v>
      </c>
      <c r="C19" s="504" t="s">
        <v>350</v>
      </c>
      <c r="G19" s="74"/>
      <c r="H19" s="74"/>
      <c r="I19" s="74"/>
    </row>
    <row r="20" spans="2:16" ht="13" x14ac:dyDescent="0.15">
      <c r="B20" s="226" t="s">
        <v>357</v>
      </c>
      <c r="C20" s="492"/>
      <c r="G20" s="74"/>
      <c r="H20" s="74"/>
      <c r="I20" s="74"/>
    </row>
    <row r="21" spans="2:16" ht="13" x14ac:dyDescent="0.15">
      <c r="B21" s="226" t="s">
        <v>355</v>
      </c>
      <c r="C21" s="505">
        <f>0.1*C20</f>
        <v>0</v>
      </c>
      <c r="G21" s="74"/>
      <c r="H21" s="74"/>
      <c r="I21" s="74"/>
    </row>
    <row r="22" spans="2:16" ht="13" x14ac:dyDescent="0.15">
      <c r="B22" s="226" t="s">
        <v>358</v>
      </c>
      <c r="C22" s="222"/>
      <c r="G22" s="74"/>
      <c r="H22" s="74"/>
      <c r="I22" s="74"/>
    </row>
    <row r="23" spans="2:16" ht="13" x14ac:dyDescent="0.15">
      <c r="B23" s="226" t="s">
        <v>401</v>
      </c>
      <c r="C23" s="487">
        <v>4.34</v>
      </c>
      <c r="G23" s="74"/>
      <c r="H23" s="74"/>
      <c r="I23" s="74"/>
    </row>
    <row r="24" spans="2:16" ht="13" x14ac:dyDescent="0.15">
      <c r="B24" s="223" t="s">
        <v>350</v>
      </c>
      <c r="C24" s="222" t="s">
        <v>350</v>
      </c>
      <c r="E24" s="734" t="s">
        <v>227</v>
      </c>
      <c r="F24" s="734"/>
      <c r="G24" s="734"/>
      <c r="H24" s="74"/>
      <c r="I24" s="74"/>
    </row>
    <row r="25" spans="2:16" ht="13" x14ac:dyDescent="0.15">
      <c r="B25" s="226" t="s">
        <v>350</v>
      </c>
      <c r="C25" s="166"/>
      <c r="E25" s="734"/>
      <c r="F25" s="734"/>
      <c r="G25" s="734"/>
      <c r="H25" s="74"/>
      <c r="I25" s="74"/>
    </row>
    <row r="26" spans="2:16" ht="13" x14ac:dyDescent="0.15">
      <c r="B26" s="227" t="str">
        <f>SalesForecastYear1!B37</f>
        <v>Teacher Compensation</v>
      </c>
      <c r="C26" s="34">
        <f>SUM(C20+C21)*C22*C23</f>
        <v>0</v>
      </c>
      <c r="E26" s="734"/>
      <c r="F26" s="734"/>
      <c r="G26" s="734"/>
      <c r="H26" s="74"/>
      <c r="I26" s="74"/>
    </row>
    <row r="27" spans="2:16" x14ac:dyDescent="0.15">
      <c r="G27" s="74"/>
      <c r="H27" s="74"/>
      <c r="I27" s="74"/>
    </row>
    <row r="28" spans="2:16" ht="16" x14ac:dyDescent="0.15">
      <c r="B28" s="496" t="str">
        <f>SalesForecastYear1!B40</f>
        <v>Classroom or program 3</v>
      </c>
      <c r="C28" s="221"/>
      <c r="G28" s="74"/>
      <c r="H28" s="74"/>
      <c r="I28" s="74"/>
    </row>
    <row r="29" spans="2:16" ht="13" thickBot="1" x14ac:dyDescent="0.2">
      <c r="B29" s="735"/>
      <c r="C29" s="736"/>
      <c r="G29" s="74"/>
      <c r="H29" s="74"/>
      <c r="I29" s="74"/>
    </row>
    <row r="30" spans="2:16" ht="13" thickTop="1" x14ac:dyDescent="0.15">
      <c r="B30" s="114" t="s">
        <v>108</v>
      </c>
      <c r="C30" s="363" t="s">
        <v>109</v>
      </c>
      <c r="G30" s="74"/>
    </row>
    <row r="31" spans="2:16" x14ac:dyDescent="0.15">
      <c r="B31" s="100" t="s">
        <v>350</v>
      </c>
      <c r="C31" s="504" t="s">
        <v>350</v>
      </c>
      <c r="G31" s="74"/>
    </row>
    <row r="32" spans="2:16" ht="13" x14ac:dyDescent="0.15">
      <c r="B32" s="226" t="s">
        <v>357</v>
      </c>
      <c r="C32" s="492"/>
    </row>
    <row r="33" spans="2:7" ht="13" x14ac:dyDescent="0.15">
      <c r="B33" s="226" t="s">
        <v>355</v>
      </c>
      <c r="C33" s="505">
        <f>0.1*C32</f>
        <v>0</v>
      </c>
    </row>
    <row r="34" spans="2:7" ht="13" x14ac:dyDescent="0.15">
      <c r="B34" s="226" t="s">
        <v>358</v>
      </c>
      <c r="C34" s="222"/>
    </row>
    <row r="35" spans="2:7" ht="13" x14ac:dyDescent="0.15">
      <c r="B35" s="226" t="s">
        <v>401</v>
      </c>
      <c r="C35" s="487">
        <v>4.34</v>
      </c>
    </row>
    <row r="36" spans="2:7" ht="13" x14ac:dyDescent="0.15">
      <c r="B36" s="223" t="s">
        <v>350</v>
      </c>
      <c r="C36" s="222" t="s">
        <v>350</v>
      </c>
      <c r="E36" s="734" t="s">
        <v>227</v>
      </c>
      <c r="F36" s="734"/>
      <c r="G36" s="734"/>
    </row>
    <row r="37" spans="2:7" ht="13" x14ac:dyDescent="0.15">
      <c r="B37" s="226" t="s">
        <v>350</v>
      </c>
      <c r="C37" s="166"/>
      <c r="E37" s="734"/>
      <c r="F37" s="734"/>
      <c r="G37" s="734"/>
    </row>
    <row r="38" spans="2:7" ht="13" x14ac:dyDescent="0.15">
      <c r="B38" s="227" t="str">
        <f>SalesForecastYear1!B44</f>
        <v>Teacher Compensation</v>
      </c>
      <c r="C38" s="34">
        <f>SUM(C32+C33)*C34*C35</f>
        <v>0</v>
      </c>
      <c r="E38" s="734"/>
      <c r="F38" s="734"/>
      <c r="G38" s="734"/>
    </row>
    <row r="40" spans="2:7" ht="16" x14ac:dyDescent="0.15">
      <c r="B40" s="496" t="str">
        <f>SalesForecastYear1!B47</f>
        <v>Classroom or program 4</v>
      </c>
      <c r="C40" s="221"/>
    </row>
    <row r="41" spans="2:7" ht="13" thickBot="1" x14ac:dyDescent="0.2">
      <c r="B41" s="735"/>
      <c r="C41" s="736"/>
    </row>
    <row r="42" spans="2:7" ht="13" thickTop="1" x14ac:dyDescent="0.15">
      <c r="B42" s="114" t="s">
        <v>108</v>
      </c>
      <c r="C42" s="363" t="s">
        <v>109</v>
      </c>
    </row>
    <row r="43" spans="2:7" x14ac:dyDescent="0.15">
      <c r="B43" s="100" t="s">
        <v>350</v>
      </c>
      <c r="C43" s="504" t="s">
        <v>350</v>
      </c>
    </row>
    <row r="44" spans="2:7" ht="13" x14ac:dyDescent="0.15">
      <c r="B44" s="226" t="s">
        <v>357</v>
      </c>
      <c r="C44" s="492"/>
    </row>
    <row r="45" spans="2:7" ht="13" x14ac:dyDescent="0.15">
      <c r="B45" s="226" t="s">
        <v>355</v>
      </c>
      <c r="C45" s="505">
        <f>0.1*C44</f>
        <v>0</v>
      </c>
    </row>
    <row r="46" spans="2:7" ht="13" x14ac:dyDescent="0.15">
      <c r="B46" s="226" t="s">
        <v>358</v>
      </c>
      <c r="C46" s="222"/>
    </row>
    <row r="47" spans="2:7" ht="13" x14ac:dyDescent="0.15">
      <c r="B47" s="226" t="s">
        <v>401</v>
      </c>
      <c r="C47" s="487">
        <v>4.34</v>
      </c>
    </row>
    <row r="48" spans="2:7" ht="13" x14ac:dyDescent="0.15">
      <c r="B48" s="223" t="s">
        <v>350</v>
      </c>
      <c r="C48" s="222"/>
      <c r="E48" s="734" t="s">
        <v>227</v>
      </c>
      <c r="F48" s="734"/>
      <c r="G48" s="734"/>
    </row>
    <row r="49" spans="2:7" ht="13" x14ac:dyDescent="0.15">
      <c r="B49" s="226" t="s">
        <v>350</v>
      </c>
      <c r="C49" s="166"/>
      <c r="E49" s="734"/>
      <c r="F49" s="734"/>
      <c r="G49" s="734"/>
    </row>
    <row r="50" spans="2:7" ht="13" x14ac:dyDescent="0.15">
      <c r="B50" s="227" t="str">
        <f>SalesForecastYear1!B51</f>
        <v>Teacher Compensation</v>
      </c>
      <c r="C50" s="34">
        <f>SUM(C44+C45)*C46*C47</f>
        <v>0</v>
      </c>
      <c r="E50" s="734"/>
      <c r="F50" s="734"/>
      <c r="G50" s="734"/>
    </row>
    <row r="52" spans="2:7" ht="16" x14ac:dyDescent="0.15">
      <c r="B52" s="496" t="str">
        <f>SalesForecastYear1!B54</f>
        <v>Classroom or program 5</v>
      </c>
      <c r="C52" s="221"/>
    </row>
    <row r="53" spans="2:7" ht="13" thickBot="1" x14ac:dyDescent="0.2">
      <c r="B53" s="735"/>
      <c r="C53" s="736"/>
    </row>
    <row r="54" spans="2:7" ht="13" thickTop="1" x14ac:dyDescent="0.15">
      <c r="B54" s="114" t="s">
        <v>108</v>
      </c>
      <c r="C54" s="363" t="s">
        <v>109</v>
      </c>
    </row>
    <row r="55" spans="2:7" x14ac:dyDescent="0.15">
      <c r="B55" s="100" t="s">
        <v>350</v>
      </c>
      <c r="C55" s="504" t="s">
        <v>350</v>
      </c>
    </row>
    <row r="56" spans="2:7" ht="13" x14ac:dyDescent="0.15">
      <c r="B56" s="226" t="s">
        <v>357</v>
      </c>
      <c r="C56" s="492"/>
    </row>
    <row r="57" spans="2:7" ht="13" x14ac:dyDescent="0.15">
      <c r="B57" s="226" t="s">
        <v>355</v>
      </c>
      <c r="C57" s="506">
        <f>0.1*C56</f>
        <v>0</v>
      </c>
    </row>
    <row r="58" spans="2:7" ht="13" x14ac:dyDescent="0.15">
      <c r="B58" s="226" t="s">
        <v>358</v>
      </c>
      <c r="C58" s="222"/>
    </row>
    <row r="59" spans="2:7" ht="13" x14ac:dyDescent="0.15">
      <c r="B59" s="226" t="s">
        <v>401</v>
      </c>
      <c r="C59" s="487">
        <v>4.34</v>
      </c>
    </row>
    <row r="60" spans="2:7" ht="13" x14ac:dyDescent="0.15">
      <c r="B60" s="223" t="s">
        <v>350</v>
      </c>
      <c r="C60" s="222" t="s">
        <v>350</v>
      </c>
      <c r="E60" s="734" t="s">
        <v>227</v>
      </c>
      <c r="F60" s="734"/>
      <c r="G60" s="734"/>
    </row>
    <row r="61" spans="2:7" ht="13" x14ac:dyDescent="0.15">
      <c r="B61" s="226" t="s">
        <v>350</v>
      </c>
      <c r="C61" s="166"/>
      <c r="E61" s="734"/>
      <c r="F61" s="734"/>
      <c r="G61" s="734"/>
    </row>
    <row r="62" spans="2:7" ht="13" x14ac:dyDescent="0.15">
      <c r="B62" s="227" t="str">
        <f>SalesForecastYear1!B58</f>
        <v>Teacher Compensation</v>
      </c>
      <c r="C62" s="34">
        <f>SUM(C56+C57)*C58*C59</f>
        <v>0</v>
      </c>
      <c r="E62" s="734"/>
      <c r="F62" s="734"/>
      <c r="G62" s="734"/>
    </row>
    <row r="64" spans="2:7" ht="16" x14ac:dyDescent="0.15">
      <c r="B64" s="496" t="str">
        <f>SalesForecastYear1!B61</f>
        <v>Classroom or program 6</v>
      </c>
      <c r="C64" s="221"/>
    </row>
    <row r="65" spans="2:7" ht="13" thickBot="1" x14ac:dyDescent="0.2">
      <c r="B65" s="735"/>
      <c r="C65" s="736"/>
    </row>
    <row r="66" spans="2:7" ht="13" thickTop="1" x14ac:dyDescent="0.15">
      <c r="B66" s="114" t="s">
        <v>108</v>
      </c>
      <c r="C66" s="363" t="s">
        <v>109</v>
      </c>
    </row>
    <row r="67" spans="2:7" x14ac:dyDescent="0.15">
      <c r="B67" s="100" t="s">
        <v>350</v>
      </c>
      <c r="C67" s="504" t="s">
        <v>350</v>
      </c>
    </row>
    <row r="68" spans="2:7" ht="13" x14ac:dyDescent="0.15">
      <c r="B68" s="226" t="s">
        <v>357</v>
      </c>
      <c r="C68" s="492"/>
    </row>
    <row r="69" spans="2:7" ht="13" x14ac:dyDescent="0.15">
      <c r="B69" s="226" t="s">
        <v>355</v>
      </c>
      <c r="C69" s="505">
        <f>0.1*C68</f>
        <v>0</v>
      </c>
    </row>
    <row r="70" spans="2:7" ht="13" x14ac:dyDescent="0.15">
      <c r="B70" s="226" t="s">
        <v>358</v>
      </c>
      <c r="C70" s="222"/>
    </row>
    <row r="71" spans="2:7" ht="13" x14ac:dyDescent="0.15">
      <c r="B71" s="226" t="s">
        <v>401</v>
      </c>
      <c r="C71" s="487">
        <v>4.34</v>
      </c>
    </row>
    <row r="72" spans="2:7" ht="13" x14ac:dyDescent="0.15">
      <c r="B72" s="223" t="s">
        <v>350</v>
      </c>
      <c r="C72" s="222" t="s">
        <v>350</v>
      </c>
      <c r="E72" s="734" t="s">
        <v>227</v>
      </c>
      <c r="F72" s="734"/>
      <c r="G72" s="734"/>
    </row>
    <row r="73" spans="2:7" ht="13" x14ac:dyDescent="0.15">
      <c r="B73" s="226" t="s">
        <v>350</v>
      </c>
      <c r="C73" s="166"/>
      <c r="E73" s="734"/>
      <c r="F73" s="734"/>
      <c r="G73" s="734"/>
    </row>
    <row r="74" spans="2:7" ht="13" x14ac:dyDescent="0.15">
      <c r="B74" s="227" t="str">
        <f>SalesForecastYear1!B65</f>
        <v>Teacher Compensation</v>
      </c>
      <c r="C74" s="34">
        <f>SUM(C68+C69)*C70*C71</f>
        <v>0</v>
      </c>
      <c r="E74" s="734"/>
      <c r="F74" s="734"/>
      <c r="G74" s="734"/>
    </row>
    <row r="76" spans="2:7" ht="16" x14ac:dyDescent="0.15">
      <c r="B76" s="496" t="str">
        <f>SalesForecastYear1!B68</f>
        <v>Classroom or program 7</v>
      </c>
      <c r="C76" s="221"/>
    </row>
    <row r="77" spans="2:7" ht="13" thickBot="1" x14ac:dyDescent="0.2">
      <c r="B77" s="735"/>
      <c r="C77" s="736"/>
    </row>
    <row r="78" spans="2:7" ht="13" thickTop="1" x14ac:dyDescent="0.15">
      <c r="B78" s="114" t="s">
        <v>108</v>
      </c>
      <c r="C78" s="363" t="s">
        <v>109</v>
      </c>
    </row>
    <row r="79" spans="2:7" x14ac:dyDescent="0.15">
      <c r="B79" s="100" t="s">
        <v>350</v>
      </c>
      <c r="C79" s="504" t="s">
        <v>350</v>
      </c>
    </row>
    <row r="80" spans="2:7" ht="13" x14ac:dyDescent="0.15">
      <c r="B80" s="226" t="s">
        <v>357</v>
      </c>
      <c r="C80" s="492"/>
    </row>
    <row r="81" spans="2:7" ht="13" x14ac:dyDescent="0.15">
      <c r="B81" s="226" t="s">
        <v>355</v>
      </c>
      <c r="C81" s="505">
        <f>0.1*C80</f>
        <v>0</v>
      </c>
    </row>
    <row r="82" spans="2:7" ht="13" x14ac:dyDescent="0.15">
      <c r="B82" s="226" t="s">
        <v>358</v>
      </c>
      <c r="C82" s="222"/>
    </row>
    <row r="83" spans="2:7" ht="13" x14ac:dyDescent="0.15">
      <c r="B83" s="226" t="s">
        <v>401</v>
      </c>
      <c r="C83" s="487">
        <v>4.34</v>
      </c>
    </row>
    <row r="84" spans="2:7" ht="13" x14ac:dyDescent="0.15">
      <c r="B84" s="223" t="s">
        <v>350</v>
      </c>
      <c r="C84" s="222" t="s">
        <v>350</v>
      </c>
      <c r="E84" s="734" t="s">
        <v>227</v>
      </c>
      <c r="F84" s="734"/>
      <c r="G84" s="734"/>
    </row>
    <row r="85" spans="2:7" ht="13" x14ac:dyDescent="0.15">
      <c r="B85" s="226" t="s">
        <v>350</v>
      </c>
      <c r="C85" s="166"/>
      <c r="E85" s="734"/>
      <c r="F85" s="734"/>
      <c r="G85" s="734"/>
    </row>
    <row r="86" spans="2:7" ht="13" x14ac:dyDescent="0.15">
      <c r="B86" s="227" t="str">
        <f>SalesForecastYear1!B72</f>
        <v>Teacher Compensation</v>
      </c>
      <c r="C86" s="34">
        <f>SUM(C80+C81)*C82*C83</f>
        <v>0</v>
      </c>
      <c r="E86" s="734"/>
      <c r="F86" s="734"/>
      <c r="G86" s="734"/>
    </row>
    <row r="88" spans="2:7" ht="16" x14ac:dyDescent="0.15">
      <c r="B88" s="496" t="str">
        <f>SalesForecastYear1!B75</f>
        <v>Classroom or program 8</v>
      </c>
      <c r="C88" s="221"/>
    </row>
    <row r="89" spans="2:7" ht="13" thickBot="1" x14ac:dyDescent="0.2">
      <c r="B89" s="735"/>
      <c r="C89" s="736"/>
    </row>
    <row r="90" spans="2:7" ht="13" thickTop="1" x14ac:dyDescent="0.15">
      <c r="B90" s="114" t="s">
        <v>108</v>
      </c>
      <c r="C90" s="363" t="s">
        <v>109</v>
      </c>
    </row>
    <row r="91" spans="2:7" x14ac:dyDescent="0.15">
      <c r="B91" s="100" t="s">
        <v>350</v>
      </c>
      <c r="C91" s="504" t="s">
        <v>350</v>
      </c>
    </row>
    <row r="92" spans="2:7" ht="13" x14ac:dyDescent="0.15">
      <c r="B92" s="226" t="s">
        <v>357</v>
      </c>
      <c r="C92" s="492"/>
    </row>
    <row r="93" spans="2:7" ht="13" x14ac:dyDescent="0.15">
      <c r="B93" s="226" t="s">
        <v>355</v>
      </c>
      <c r="C93" s="505">
        <f>0.1*C92</f>
        <v>0</v>
      </c>
    </row>
    <row r="94" spans="2:7" ht="13" x14ac:dyDescent="0.15">
      <c r="B94" s="226" t="s">
        <v>358</v>
      </c>
      <c r="C94" s="222"/>
    </row>
    <row r="95" spans="2:7" ht="13" x14ac:dyDescent="0.15">
      <c r="B95" s="226" t="s">
        <v>401</v>
      </c>
      <c r="C95" s="487">
        <v>4.34</v>
      </c>
    </row>
    <row r="96" spans="2:7" ht="13" x14ac:dyDescent="0.15">
      <c r="B96" s="223" t="s">
        <v>350</v>
      </c>
      <c r="C96" s="222" t="s">
        <v>350</v>
      </c>
      <c r="E96" s="734" t="s">
        <v>227</v>
      </c>
      <c r="F96" s="734"/>
      <c r="G96" s="734"/>
    </row>
    <row r="97" spans="2:7" ht="13" x14ac:dyDescent="0.15">
      <c r="B97" s="226" t="s">
        <v>350</v>
      </c>
      <c r="C97" s="166"/>
      <c r="E97" s="734"/>
      <c r="F97" s="734"/>
      <c r="G97" s="734"/>
    </row>
    <row r="98" spans="2:7" ht="13" x14ac:dyDescent="0.15">
      <c r="B98" s="227" t="str">
        <f>SalesForecastYear1!B79</f>
        <v>Teacher Compensation</v>
      </c>
      <c r="C98" s="34">
        <f>SUM(C92+C93)*C94*C95</f>
        <v>0</v>
      </c>
      <c r="E98" s="734"/>
      <c r="F98" s="734"/>
      <c r="G98" s="734"/>
    </row>
    <row r="100" spans="2:7" ht="16" x14ac:dyDescent="0.15">
      <c r="B100" s="496" t="str">
        <f>SalesForecastYear1!B98</f>
        <v>Classroom or program 9</v>
      </c>
      <c r="C100" s="221"/>
    </row>
    <row r="101" spans="2:7" ht="13" thickBot="1" x14ac:dyDescent="0.2">
      <c r="B101" s="735"/>
      <c r="C101" s="736"/>
    </row>
    <row r="102" spans="2:7" ht="13" thickTop="1" x14ac:dyDescent="0.15">
      <c r="B102" s="114" t="s">
        <v>108</v>
      </c>
      <c r="C102" s="363" t="s">
        <v>109</v>
      </c>
    </row>
    <row r="103" spans="2:7" x14ac:dyDescent="0.15">
      <c r="B103" s="100" t="s">
        <v>350</v>
      </c>
      <c r="C103" s="504" t="s">
        <v>350</v>
      </c>
    </row>
    <row r="104" spans="2:7" ht="13" x14ac:dyDescent="0.15">
      <c r="B104" s="226" t="s">
        <v>357</v>
      </c>
      <c r="C104" s="492"/>
    </row>
    <row r="105" spans="2:7" ht="13" x14ac:dyDescent="0.15">
      <c r="B105" s="226" t="s">
        <v>355</v>
      </c>
      <c r="C105" s="505">
        <f>0.1*C104</f>
        <v>0</v>
      </c>
    </row>
    <row r="106" spans="2:7" ht="13" x14ac:dyDescent="0.15">
      <c r="B106" s="226" t="s">
        <v>358</v>
      </c>
      <c r="C106" s="222"/>
    </row>
    <row r="107" spans="2:7" ht="13" x14ac:dyDescent="0.15">
      <c r="B107" s="226" t="s">
        <v>401</v>
      </c>
      <c r="C107" s="487">
        <v>4.34</v>
      </c>
    </row>
    <row r="108" spans="2:7" ht="13" x14ac:dyDescent="0.15">
      <c r="B108" s="223" t="s">
        <v>350</v>
      </c>
      <c r="C108" s="222" t="s">
        <v>350</v>
      </c>
      <c r="E108" s="734" t="s">
        <v>227</v>
      </c>
      <c r="F108" s="734"/>
      <c r="G108" s="734"/>
    </row>
    <row r="109" spans="2:7" ht="13" x14ac:dyDescent="0.15">
      <c r="B109" s="226" t="s">
        <v>350</v>
      </c>
      <c r="C109" s="166"/>
      <c r="E109" s="734"/>
      <c r="F109" s="734"/>
      <c r="G109" s="734"/>
    </row>
    <row r="110" spans="2:7" ht="13" x14ac:dyDescent="0.15">
      <c r="B110" s="227" t="str">
        <f>SalesForecastYear1!B102</f>
        <v>Teacher Compensation</v>
      </c>
      <c r="C110" s="34">
        <f>SUM(C104+C105)*C106*C107</f>
        <v>0</v>
      </c>
      <c r="E110" s="734"/>
      <c r="F110" s="734"/>
      <c r="G110" s="734"/>
    </row>
    <row r="112" spans="2:7" ht="16" x14ac:dyDescent="0.15">
      <c r="B112" s="496" t="str">
        <f>SalesForecastYear1!B105</f>
        <v>Classroom or program 10</v>
      </c>
      <c r="C112" s="221"/>
    </row>
    <row r="113" spans="2:7" ht="13" thickBot="1" x14ac:dyDescent="0.2">
      <c r="B113" s="735"/>
      <c r="C113" s="736"/>
    </row>
    <row r="114" spans="2:7" ht="13" thickTop="1" x14ac:dyDescent="0.15">
      <c r="B114" s="114" t="s">
        <v>108</v>
      </c>
      <c r="C114" s="363" t="s">
        <v>109</v>
      </c>
    </row>
    <row r="115" spans="2:7" x14ac:dyDescent="0.15">
      <c r="B115" s="100" t="s">
        <v>350</v>
      </c>
      <c r="C115" s="504" t="s">
        <v>350</v>
      </c>
    </row>
    <row r="116" spans="2:7" ht="13" x14ac:dyDescent="0.15">
      <c r="B116" s="226" t="s">
        <v>357</v>
      </c>
      <c r="C116" s="492"/>
    </row>
    <row r="117" spans="2:7" ht="13" x14ac:dyDescent="0.15">
      <c r="B117" s="226" t="s">
        <v>355</v>
      </c>
      <c r="C117" s="505">
        <f>0.1*C116</f>
        <v>0</v>
      </c>
    </row>
    <row r="118" spans="2:7" ht="13" x14ac:dyDescent="0.15">
      <c r="B118" s="226" t="s">
        <v>358</v>
      </c>
      <c r="C118" s="222"/>
    </row>
    <row r="119" spans="2:7" ht="13" x14ac:dyDescent="0.15">
      <c r="B119" s="226" t="s">
        <v>401</v>
      </c>
      <c r="C119" s="487">
        <v>4.34</v>
      </c>
    </row>
    <row r="120" spans="2:7" ht="13" x14ac:dyDescent="0.15">
      <c r="B120" s="223" t="s">
        <v>350</v>
      </c>
      <c r="C120" s="222" t="s">
        <v>350</v>
      </c>
      <c r="E120" s="734" t="s">
        <v>227</v>
      </c>
      <c r="F120" s="734"/>
      <c r="G120" s="734"/>
    </row>
    <row r="121" spans="2:7" ht="13" x14ac:dyDescent="0.15">
      <c r="B121" s="226" t="s">
        <v>350</v>
      </c>
      <c r="C121" s="166"/>
      <c r="E121" s="734"/>
      <c r="F121" s="734"/>
      <c r="G121" s="734"/>
    </row>
    <row r="122" spans="2:7" ht="13" x14ac:dyDescent="0.15">
      <c r="B122" s="227" t="str">
        <f>SalesForecastYear1!B109</f>
        <v>Teacher Compensation</v>
      </c>
      <c r="C122" s="34">
        <f>SUM(C116+C117)*C118*C119</f>
        <v>0</v>
      </c>
      <c r="E122" s="734"/>
      <c r="F122" s="734"/>
      <c r="G122" s="734"/>
    </row>
    <row r="124" spans="2:7" ht="16" x14ac:dyDescent="0.15">
      <c r="B124" s="496" t="str">
        <f>SalesForecastYear1!B112</f>
        <v>Classroom or program 11</v>
      </c>
      <c r="C124" s="221"/>
    </row>
    <row r="125" spans="2:7" ht="13" thickBot="1" x14ac:dyDescent="0.2">
      <c r="B125" s="735"/>
      <c r="C125" s="736"/>
    </row>
    <row r="126" spans="2:7" ht="13" thickTop="1" x14ac:dyDescent="0.15">
      <c r="B126" s="114" t="s">
        <v>108</v>
      </c>
      <c r="C126" s="363" t="s">
        <v>109</v>
      </c>
    </row>
    <row r="127" spans="2:7" x14ac:dyDescent="0.15">
      <c r="B127" s="100" t="s">
        <v>350</v>
      </c>
      <c r="C127" s="504" t="s">
        <v>350</v>
      </c>
    </row>
    <row r="128" spans="2:7" ht="13" x14ac:dyDescent="0.15">
      <c r="B128" s="226" t="s">
        <v>357</v>
      </c>
      <c r="C128" s="492"/>
    </row>
    <row r="129" spans="2:7" ht="13" x14ac:dyDescent="0.15">
      <c r="B129" s="226" t="s">
        <v>355</v>
      </c>
      <c r="C129" s="505">
        <f>0.1*C128</f>
        <v>0</v>
      </c>
    </row>
    <row r="130" spans="2:7" ht="13" x14ac:dyDescent="0.15">
      <c r="B130" s="226" t="s">
        <v>358</v>
      </c>
      <c r="C130" s="222"/>
    </row>
    <row r="131" spans="2:7" ht="13" x14ac:dyDescent="0.15">
      <c r="B131" s="226" t="s">
        <v>401</v>
      </c>
      <c r="C131" s="487">
        <v>4.34</v>
      </c>
    </row>
    <row r="132" spans="2:7" ht="13" x14ac:dyDescent="0.15">
      <c r="B132" s="223" t="s">
        <v>350</v>
      </c>
      <c r="C132" s="222" t="s">
        <v>350</v>
      </c>
      <c r="E132" s="734" t="s">
        <v>227</v>
      </c>
      <c r="F132" s="734"/>
      <c r="G132" s="734"/>
    </row>
    <row r="133" spans="2:7" ht="13" x14ac:dyDescent="0.15">
      <c r="B133" s="226" t="s">
        <v>350</v>
      </c>
      <c r="C133" s="166"/>
      <c r="E133" s="734"/>
      <c r="F133" s="734"/>
      <c r="G133" s="734"/>
    </row>
    <row r="134" spans="2:7" ht="13" x14ac:dyDescent="0.15">
      <c r="B134" s="227" t="str">
        <f>SalesForecastYear1!B116</f>
        <v>Teacher Compensation</v>
      </c>
      <c r="C134" s="34">
        <f>SUM(C128+C129)*C130*C131</f>
        <v>0</v>
      </c>
      <c r="E134" s="734"/>
      <c r="F134" s="734"/>
      <c r="G134" s="734"/>
    </row>
  </sheetData>
  <sheetProtection selectLockedCells="1"/>
  <mergeCells count="22">
    <mergeCell ref="B5:C5"/>
    <mergeCell ref="E11:G13"/>
    <mergeCell ref="B17:C17"/>
    <mergeCell ref="E24:G26"/>
    <mergeCell ref="B29:C29"/>
    <mergeCell ref="E36:G38"/>
    <mergeCell ref="B41:C41"/>
    <mergeCell ref="B53:C53"/>
    <mergeCell ref="B65:C65"/>
    <mergeCell ref="E48:G50"/>
    <mergeCell ref="E60:G62"/>
    <mergeCell ref="B77:C77"/>
    <mergeCell ref="B89:C89"/>
    <mergeCell ref="B101:C101"/>
    <mergeCell ref="B113:C113"/>
    <mergeCell ref="B125:C125"/>
    <mergeCell ref="E132:G134"/>
    <mergeCell ref="E72:G74"/>
    <mergeCell ref="E84:G86"/>
    <mergeCell ref="E96:G98"/>
    <mergeCell ref="E108:G110"/>
    <mergeCell ref="E120:G122"/>
  </mergeCells>
  <phoneticPr fontId="3" type="noConversion"/>
  <conditionalFormatting sqref="C7:C12">
    <cfRule type="containsBlanks" dxfId="12" priority="22" stopIfTrue="1">
      <formula>LEN(TRIM(C7))=0</formula>
    </cfRule>
  </conditionalFormatting>
  <conditionalFormatting sqref="C20:C25">
    <cfRule type="containsBlanks" dxfId="11" priority="20" stopIfTrue="1">
      <formula>LEN(TRIM(C20))=0</formula>
    </cfRule>
  </conditionalFormatting>
  <conditionalFormatting sqref="C32:C37">
    <cfRule type="containsBlanks" dxfId="10" priority="18" stopIfTrue="1">
      <formula>LEN(TRIM(C32))=0</formula>
    </cfRule>
  </conditionalFormatting>
  <conditionalFormatting sqref="C44:C49">
    <cfRule type="containsBlanks" dxfId="9" priority="16" stopIfTrue="1">
      <formula>LEN(TRIM(C44))=0</formula>
    </cfRule>
  </conditionalFormatting>
  <conditionalFormatting sqref="C56:C61">
    <cfRule type="containsBlanks" dxfId="8" priority="14" stopIfTrue="1">
      <formula>LEN(TRIM(C56))=0</formula>
    </cfRule>
  </conditionalFormatting>
  <conditionalFormatting sqref="C68:C73">
    <cfRule type="containsBlanks" dxfId="7" priority="12" stopIfTrue="1">
      <formula>LEN(TRIM(C68))=0</formula>
    </cfRule>
  </conditionalFormatting>
  <conditionalFormatting sqref="C80:C85">
    <cfRule type="containsBlanks" dxfId="6" priority="10" stopIfTrue="1">
      <formula>LEN(TRIM(C80))=0</formula>
    </cfRule>
  </conditionalFormatting>
  <conditionalFormatting sqref="C92:C97">
    <cfRule type="containsBlanks" dxfId="5" priority="8" stopIfTrue="1">
      <formula>LEN(TRIM(C92))=0</formula>
    </cfRule>
  </conditionalFormatting>
  <conditionalFormatting sqref="C104:C109">
    <cfRule type="containsBlanks" dxfId="4" priority="6" stopIfTrue="1">
      <formula>LEN(TRIM(C104))=0</formula>
    </cfRule>
  </conditionalFormatting>
  <conditionalFormatting sqref="C116:C121">
    <cfRule type="containsBlanks" dxfId="3" priority="4" stopIfTrue="1">
      <formula>LEN(TRIM(C116))=0</formula>
    </cfRule>
  </conditionalFormatting>
  <conditionalFormatting sqref="C128:C133">
    <cfRule type="containsBlanks" dxfId="2" priority="2" stopIfTrue="1">
      <formula>LEN(TRIM(C128))=0</formula>
    </cfRule>
  </conditionalFormatting>
  <conditionalFormatting sqref="K6:L7">
    <cfRule type="containsBlanks" dxfId="1" priority="1" stopIfTrue="1">
      <formula>LEN(TRIM(K6))=0</formula>
    </cfRule>
  </conditionalFormatting>
  <hyperlinks>
    <hyperlink ref="E12:G13" location="'3a-SalesForecastYear1'!A1" display="Return to Sales Forecast Year 1" xr:uid="{00000000-0004-0000-1200-000000000000}"/>
    <hyperlink ref="E24:G26" location="'3a-SalesForecastYear1'!A1" display="Return to Sales Forecast Year 1" xr:uid="{00000000-0004-0000-1200-000001000000}"/>
    <hyperlink ref="E36:G38" location="'3a-SalesForecastYear1'!A1" display="Return to Sales Forecast Year 1" xr:uid="{00000000-0004-0000-1200-000002000000}"/>
    <hyperlink ref="E48:G50" location="'3a-SalesForecastYear1'!A1" display="Return to Sales Forecast Year 1" xr:uid="{00000000-0004-0000-1200-000003000000}"/>
    <hyperlink ref="E60:G62" location="'3a-SalesForecastYear1'!A1" display="Return to Sales Forecast Year 1" xr:uid="{00000000-0004-0000-1200-000004000000}"/>
    <hyperlink ref="E72:G74" location="'3a-SalesForecastYear1'!A1" display="Return to Sales Forecast Year 1" xr:uid="{00000000-0004-0000-1200-000005000000}"/>
    <hyperlink ref="E84:G86" location="'3a-SalesForecastYear1'!A1" display="Return to Sales Forecast Year 1" xr:uid="{00000000-0004-0000-1200-000006000000}"/>
    <hyperlink ref="E96:G98" location="'3a-SalesForecastYear1'!A1" display="Return to Sales Forecast Year 1" xr:uid="{00000000-0004-0000-1200-000007000000}"/>
    <hyperlink ref="E108:G110" location="'3a-SalesForecastYear1'!A1" display="Return to Sales Forecast Year 1" xr:uid="{00000000-0004-0000-1200-000008000000}"/>
    <hyperlink ref="E120:G122" location="'3a-SalesForecastYear1'!A1" display="Return to Sales Forecast Year 1" xr:uid="{00000000-0004-0000-1200-000009000000}"/>
    <hyperlink ref="E132:G134" location="'3a-SalesForecastYear1'!A1" display="Return to Sales Forecast Year 1" xr:uid="{00000000-0004-0000-1200-00000A000000}"/>
  </hyperlinks>
  <printOptions horizontalCentered="1"/>
  <pageMargins left="0.25" right="0.25" top="0.75" bottom="0.75" header="0.3" footer="0.3"/>
  <pageSetup scale="88" orientation="portrait" r:id="rId1"/>
  <headerFooter scaleWithDoc="0">
    <oddHeader>&amp;C&amp;"Gill Sans MT,Regular"&amp;12COGS Calculator</oddHeader>
    <oddFooter>&amp;L&amp;"Gill Sans MT,Regular"&amp;12&amp;F&amp;C&amp;"Gill Sans MT,Regular"&amp;12&amp;A&amp;R&amp;"Gill Sans MT,Regular"&amp;12 &amp;D &amp;T</oddFooter>
  </headerFooter>
  <rowBreaks count="2" manualBreakCount="2">
    <brk id="50" min="1" max="2" man="1"/>
    <brk id="98" min="1" max="2" man="1"/>
  </rowBreaks>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339966"/>
    <pageSetUpPr autoPageBreaks="0"/>
  </sheetPr>
  <dimension ref="B2:Q159"/>
  <sheetViews>
    <sheetView zoomScaleSheetLayoutView="40" workbookViewId="0">
      <selection activeCell="B2" sqref="B2:E2"/>
    </sheetView>
  </sheetViews>
  <sheetFormatPr baseColWidth="10" defaultColWidth="9.1640625" defaultRowHeight="12" x14ac:dyDescent="0.15"/>
  <cols>
    <col min="1" max="1" width="9.1640625" style="43"/>
    <col min="2" max="2" width="27.6640625" style="43" bestFit="1" customWidth="1"/>
    <col min="3" max="3" width="17.5" style="43" bestFit="1" customWidth="1"/>
    <col min="4" max="10" width="9.6640625" style="43" customWidth="1"/>
    <col min="11" max="11" width="10.5" style="43" bestFit="1" customWidth="1"/>
    <col min="12" max="14" width="9.6640625" style="43" customWidth="1"/>
    <col min="15" max="15" width="9.33203125" style="43" customWidth="1"/>
    <col min="16" max="16384" width="9.1640625" style="43"/>
  </cols>
  <sheetData>
    <row r="2" spans="2:17" x14ac:dyDescent="0.15">
      <c r="B2" s="730" t="s">
        <v>229</v>
      </c>
      <c r="C2" s="730"/>
      <c r="D2" s="730"/>
      <c r="E2" s="730"/>
    </row>
    <row r="3" spans="2:17" x14ac:dyDescent="0.15">
      <c r="B3" s="228"/>
    </row>
    <row r="4" spans="2:17" x14ac:dyDescent="0.15">
      <c r="B4" s="152" t="s">
        <v>119</v>
      </c>
      <c r="C4" s="152" t="s">
        <v>120</v>
      </c>
      <c r="E4" s="737" t="s">
        <v>228</v>
      </c>
      <c r="F4" s="737"/>
      <c r="G4" s="737"/>
    </row>
    <row r="5" spans="2:17" x14ac:dyDescent="0.15">
      <c r="B5" s="161" t="str">
        <f>IF(ISBLANK(Directions!C6), "Owner", Directions!C6)</f>
        <v>Owner</v>
      </c>
      <c r="C5" s="161" t="str">
        <f>IF(ISBLANK(Directions!D6), "Company 1", Directions!D6)</f>
        <v>Company 1</v>
      </c>
      <c r="E5" s="737"/>
      <c r="F5" s="737"/>
      <c r="G5" s="737"/>
    </row>
    <row r="6" spans="2:17" x14ac:dyDescent="0.15">
      <c r="E6" s="737"/>
      <c r="F6" s="737"/>
      <c r="G6" s="737"/>
    </row>
    <row r="8" spans="2:17" ht="13" thickBot="1" x14ac:dyDescent="0.2">
      <c r="B8" s="711" t="s">
        <v>54</v>
      </c>
      <c r="C8" s="711"/>
      <c r="D8" s="5"/>
      <c r="E8" s="5"/>
      <c r="F8" s="5"/>
      <c r="G8" s="5"/>
      <c r="H8" s="5"/>
      <c r="I8" s="5"/>
      <c r="J8" s="5"/>
      <c r="K8" s="5"/>
      <c r="L8" s="5"/>
      <c r="M8" s="5"/>
      <c r="N8" s="5"/>
      <c r="O8" s="5"/>
      <c r="P8" s="5"/>
    </row>
    <row r="9" spans="2:17" ht="13" thickTop="1" x14ac:dyDescent="0.15">
      <c r="B9" s="142" t="s">
        <v>152</v>
      </c>
      <c r="C9" s="356">
        <f>CommLoan</f>
        <v>0</v>
      </c>
      <c r="D9" s="5"/>
      <c r="E9" s="5"/>
      <c r="F9" s="5"/>
      <c r="G9" s="5"/>
      <c r="H9" s="5"/>
      <c r="I9" s="5"/>
      <c r="J9" s="5"/>
      <c r="K9" s="5"/>
      <c r="L9" s="5"/>
      <c r="M9" s="5"/>
      <c r="N9" s="5"/>
      <c r="O9" s="5"/>
      <c r="P9" s="5"/>
    </row>
    <row r="10" spans="2:17" x14ac:dyDescent="0.15">
      <c r="B10" s="24" t="s">
        <v>153</v>
      </c>
      <c r="C10" s="27">
        <f>'1-StartingPoint'!E37</f>
        <v>0</v>
      </c>
      <c r="D10" s="5"/>
      <c r="E10" s="5"/>
      <c r="F10" s="5"/>
      <c r="G10" s="5"/>
      <c r="H10" s="5"/>
      <c r="I10" s="5"/>
      <c r="J10" s="5"/>
      <c r="K10" s="5"/>
      <c r="L10" s="5"/>
      <c r="M10" s="5"/>
      <c r="N10" s="5"/>
      <c r="O10" s="5"/>
      <c r="P10" s="5"/>
    </row>
    <row r="11" spans="2:17" x14ac:dyDescent="0.15">
      <c r="B11" s="24" t="s">
        <v>154</v>
      </c>
      <c r="C11" s="25">
        <f>'1-StartingPoint'!F37</f>
        <v>0</v>
      </c>
      <c r="D11" s="5"/>
      <c r="E11" s="5"/>
      <c r="F11" s="5"/>
      <c r="G11" s="5"/>
      <c r="H11" s="5"/>
      <c r="I11" s="5"/>
      <c r="J11" s="5"/>
      <c r="K11" s="5"/>
      <c r="L11" s="5"/>
      <c r="M11" s="5"/>
      <c r="N11" s="5"/>
      <c r="O11" s="5"/>
      <c r="P11" s="5"/>
    </row>
    <row r="12" spans="2:17" x14ac:dyDescent="0.15">
      <c r="B12" s="24" t="s">
        <v>155</v>
      </c>
      <c r="C12" s="26" t="e">
        <f>ABS(PMT(C10/12,C11,C9))</f>
        <v>#NUM!</v>
      </c>
      <c r="D12" s="5"/>
      <c r="E12" s="5"/>
      <c r="F12" s="5"/>
      <c r="G12" s="5"/>
      <c r="H12" s="5"/>
      <c r="I12" s="5"/>
      <c r="J12" s="5"/>
      <c r="K12" s="5"/>
      <c r="L12" s="5"/>
      <c r="M12" s="5"/>
      <c r="N12" s="5"/>
      <c r="O12" s="5"/>
      <c r="P12" s="5"/>
    </row>
    <row r="13" spans="2:17" x14ac:dyDescent="0.15">
      <c r="B13" s="24"/>
      <c r="C13" s="40" t="str">
        <f>SalesForecastYear1!$C$23</f>
        <v xml:space="preserve"> Aug</v>
      </c>
      <c r="D13" s="40" t="str">
        <f>SalesForecastYear1!$D$23</f>
        <v>Sep</v>
      </c>
      <c r="E13" s="40" t="str">
        <f>SalesForecastYear1!$E$23</f>
        <v>Oct</v>
      </c>
      <c r="F13" s="40" t="str">
        <f>SalesForecastYear1!$F$23</f>
        <v>Nov</v>
      </c>
      <c r="G13" s="40" t="str">
        <f>SalesForecastYear1!$G$23</f>
        <v>Dec</v>
      </c>
      <c r="H13" s="40" t="str">
        <f>SalesForecastYear1!$H$23</f>
        <v>Jan</v>
      </c>
      <c r="I13" s="40" t="str">
        <f>SalesForecastYear1!$I$23</f>
        <v>Feb</v>
      </c>
      <c r="J13" s="40" t="str">
        <f>SalesForecastYear1!$J$23</f>
        <v>Mar</v>
      </c>
      <c r="K13" s="40" t="str">
        <f>SalesForecastYear1!$K$23</f>
        <v>Apr</v>
      </c>
      <c r="L13" s="40" t="str">
        <f>SalesForecastYear1!$L$23</f>
        <v>May</v>
      </c>
      <c r="M13" s="40" t="str">
        <f>SalesForecastYear1!$M$23</f>
        <v>Jun</v>
      </c>
      <c r="N13" s="40" t="str">
        <f>SalesForecastYear1!$N$23</f>
        <v>Jul</v>
      </c>
      <c r="O13" s="40" t="s">
        <v>8</v>
      </c>
      <c r="P13" s="5"/>
      <c r="Q13" s="5"/>
    </row>
    <row r="14" spans="2:17" x14ac:dyDescent="0.15">
      <c r="B14" s="24" t="s">
        <v>156</v>
      </c>
      <c r="C14" s="7"/>
      <c r="D14" s="7"/>
      <c r="E14" s="7"/>
      <c r="F14" s="7"/>
      <c r="G14" s="7"/>
      <c r="H14" s="7"/>
      <c r="I14" s="7"/>
      <c r="J14" s="7"/>
      <c r="K14" s="7"/>
      <c r="L14" s="7"/>
      <c r="M14" s="7"/>
      <c r="N14" s="7"/>
      <c r="O14" s="7"/>
      <c r="P14" s="5"/>
      <c r="Q14" s="5"/>
    </row>
    <row r="15" spans="2:17" x14ac:dyDescent="0.15">
      <c r="B15" s="41" t="s">
        <v>58</v>
      </c>
      <c r="C15" s="38">
        <f>IF($C$11&lt;1,0,ABS(IPMT($C$10/12,1,$C$11,$C$9)))</f>
        <v>0</v>
      </c>
      <c r="D15" s="38">
        <f>IF($C$11&lt;2,0,ABS(IPMT($C$10/12,2,$C$11,$C$9)))</f>
        <v>0</v>
      </c>
      <c r="E15" s="38">
        <f>IF($C$11&lt;3,0,ABS(IPMT($C$10/12,3,$C$11,$C$9)))</f>
        <v>0</v>
      </c>
      <c r="F15" s="38">
        <f>IF($C$11&lt;4,0,ABS(IPMT($C$10/12,4,$C$11,$C$9)))</f>
        <v>0</v>
      </c>
      <c r="G15" s="38">
        <f>IF($C$11&lt;5,0,ABS(IPMT($C$10/12,5,$C$11,$C$9)))</f>
        <v>0</v>
      </c>
      <c r="H15" s="38">
        <f>IF($C$11&lt;6,0,ABS(IPMT($C$10/12,6,$C$11,$C$9)))</f>
        <v>0</v>
      </c>
      <c r="I15" s="38">
        <f>IF($C$11&lt;7,0,ABS(IPMT($C$10/12,7,$C$11,$C$9)))</f>
        <v>0</v>
      </c>
      <c r="J15" s="38">
        <f>IF($C$11&lt;8,0,ABS(IPMT($C$10/12,8,$C$11,$C$9)))</f>
        <v>0</v>
      </c>
      <c r="K15" s="38">
        <f>IF($C$11&lt;9,0,ABS(IPMT($C$10/12,9,$C$11,$C$9)))</f>
        <v>0</v>
      </c>
      <c r="L15" s="38">
        <f>IF($C$11&lt;10,0,ABS(IPMT($C$10/12,10,$C$11,$C$9)))</f>
        <v>0</v>
      </c>
      <c r="M15" s="38">
        <f>IF($C$11&lt;11,0,ABS(IPMT($C$10/12,11,$C$11,$C$9)))</f>
        <v>0</v>
      </c>
      <c r="N15" s="38">
        <f>IF($C$11&lt;12,0,ABS(IPMT($C$10/12,12,$C$11,$C$9)))</f>
        <v>0</v>
      </c>
      <c r="O15" s="298">
        <f>SUM(C15:N15)</f>
        <v>0</v>
      </c>
      <c r="P15" s="5"/>
      <c r="Q15" s="5"/>
    </row>
    <row r="16" spans="2:17" x14ac:dyDescent="0.15">
      <c r="B16" s="41" t="s">
        <v>157</v>
      </c>
      <c r="C16" s="38">
        <f>IF($C$11&lt;1,0,ABS(PPMT($C$10/12,1,$C$11,$C$9)))</f>
        <v>0</v>
      </c>
      <c r="D16" s="38">
        <f>IF($C$11&lt;2,0,ABS(PPMT($C$10/12,2,$C$11,$C$9)))</f>
        <v>0</v>
      </c>
      <c r="E16" s="38">
        <f>IF($C$11&lt;3,0,ABS(PPMT($C$10/12,3,$C$11,$C$9)))</f>
        <v>0</v>
      </c>
      <c r="F16" s="38">
        <f>IF($C$11&lt;4,0,ABS(PPMT($C$10/12,4,$C$11,$C$9)))</f>
        <v>0</v>
      </c>
      <c r="G16" s="38">
        <f>IF($C$11&lt;5,0,ABS(PPMT($C$10/12,5,$C$11,$C$9)))</f>
        <v>0</v>
      </c>
      <c r="H16" s="38">
        <f>IF($C$11&lt;6,0,ABS(PPMT($C$10/12,6,$C$11,$C$9)))</f>
        <v>0</v>
      </c>
      <c r="I16" s="38">
        <f>IF($C$11&lt;7,0,ABS(PPMT($C$10/12,7,$C$11,$C$9)))</f>
        <v>0</v>
      </c>
      <c r="J16" s="38">
        <f>IF($C$11&lt;8,0,ABS(PPMT($C$10/12,8,$C$11,$C$9)))</f>
        <v>0</v>
      </c>
      <c r="K16" s="38">
        <f>IF($C$11&lt;9,0,ABS(PPMT($C$10/12,9,$C$11,$C$9)))</f>
        <v>0</v>
      </c>
      <c r="L16" s="38">
        <f>IF($C$11&lt;10,0,ABS(PPMT($C$10/12,10,$C$11,$C$9)))</f>
        <v>0</v>
      </c>
      <c r="M16" s="38">
        <f>IF($C$11&lt;11,0,ABS(PPMT($C$10/12,11,$C$11,$C$9)))</f>
        <v>0</v>
      </c>
      <c r="N16" s="38">
        <f>IF($C$11&lt;12,0,ABS(PPMT($C$10/12,12,$C$11,$C$9)))</f>
        <v>0</v>
      </c>
      <c r="O16" s="298">
        <f>SUM(C16:N16)</f>
        <v>0</v>
      </c>
      <c r="P16" s="5"/>
      <c r="Q16" s="5"/>
    </row>
    <row r="17" spans="2:17" x14ac:dyDescent="0.15">
      <c r="B17" s="41" t="s">
        <v>158</v>
      </c>
      <c r="C17" s="39">
        <f>$C$9-C16</f>
        <v>0</v>
      </c>
      <c r="D17" s="39">
        <f>C17-D16</f>
        <v>0</v>
      </c>
      <c r="E17" s="39">
        <f t="shared" ref="E17:N17" si="0">D17-E16</f>
        <v>0</v>
      </c>
      <c r="F17" s="39">
        <f t="shared" si="0"/>
        <v>0</v>
      </c>
      <c r="G17" s="39">
        <f t="shared" si="0"/>
        <v>0</v>
      </c>
      <c r="H17" s="39">
        <f t="shared" si="0"/>
        <v>0</v>
      </c>
      <c r="I17" s="39">
        <f t="shared" si="0"/>
        <v>0</v>
      </c>
      <c r="J17" s="39">
        <f t="shared" si="0"/>
        <v>0</v>
      </c>
      <c r="K17" s="39">
        <f t="shared" si="0"/>
        <v>0</v>
      </c>
      <c r="L17" s="39">
        <f t="shared" si="0"/>
        <v>0</v>
      </c>
      <c r="M17" s="39">
        <f t="shared" si="0"/>
        <v>0</v>
      </c>
      <c r="N17" s="39">
        <f t="shared" si="0"/>
        <v>0</v>
      </c>
      <c r="O17" s="35"/>
      <c r="P17" s="5"/>
      <c r="Q17" s="5"/>
    </row>
    <row r="18" spans="2:17" x14ac:dyDescent="0.15">
      <c r="B18" s="24" t="s">
        <v>159</v>
      </c>
      <c r="C18" s="36"/>
      <c r="D18" s="36"/>
      <c r="E18" s="36"/>
      <c r="F18" s="36"/>
      <c r="G18" s="36"/>
      <c r="H18" s="36"/>
      <c r="I18" s="36"/>
      <c r="J18" s="36"/>
      <c r="K18" s="36"/>
      <c r="L18" s="36"/>
      <c r="M18" s="36"/>
      <c r="N18" s="36"/>
      <c r="O18" s="36"/>
      <c r="P18" s="5"/>
      <c r="Q18" s="5"/>
    </row>
    <row r="19" spans="2:17" x14ac:dyDescent="0.15">
      <c r="B19" s="41" t="s">
        <v>58</v>
      </c>
      <c r="C19" s="38">
        <f>IF($C$11&lt;13,0,ABS(IPMT($C$10/12,13,$C$11,$C$9)))</f>
        <v>0</v>
      </c>
      <c r="D19" s="38">
        <f>IF($C$11&lt;14,0,ABS(IPMT($C$10/12,14,$C$11,$C$9)))</f>
        <v>0</v>
      </c>
      <c r="E19" s="38">
        <f>IF($C$11&lt;15,0,ABS(IPMT($C$10/12,15,$C$11,$C$9)))</f>
        <v>0</v>
      </c>
      <c r="F19" s="38">
        <f>IF($C$11&lt;16,0,ABS(IPMT($C$10/12,16,$C$11,$C$9)))</f>
        <v>0</v>
      </c>
      <c r="G19" s="38">
        <f>IF($C$11&lt;17,0,ABS(IPMT($C$10/12,17,$C$11,$C$9)))</f>
        <v>0</v>
      </c>
      <c r="H19" s="38">
        <f>IF($C$11&lt;18,0,ABS(IPMT($C$10/12,18,$C$11,$C$9)))</f>
        <v>0</v>
      </c>
      <c r="I19" s="38">
        <f>IF($C$11&lt;19,0,ABS(IPMT($C$10/12,19,$C$11,$C$9)))</f>
        <v>0</v>
      </c>
      <c r="J19" s="38">
        <f>IF($C$11&lt;20,0,ABS(IPMT($C$10/12,20,$C$11,$C$9)))</f>
        <v>0</v>
      </c>
      <c r="K19" s="38">
        <f>IF($C$11&lt;21,0,ABS(IPMT($C$10/12,21,$C$11,$C$9)))</f>
        <v>0</v>
      </c>
      <c r="L19" s="38">
        <f>IF($C$11&lt;22,0,ABS(IPMT($C$10/12,22,$C$11,$C$9)))</f>
        <v>0</v>
      </c>
      <c r="M19" s="38">
        <f>IF($C$11&lt;23,0,ABS(IPMT($C$10/12,23,$C$11,$C$9)))</f>
        <v>0</v>
      </c>
      <c r="N19" s="38">
        <f>IF($C$11&lt;24,0,ABS(IPMT($C$10/12,24,$C$11,$C$9)))</f>
        <v>0</v>
      </c>
      <c r="O19" s="298">
        <f>SUM(C19:N19)</f>
        <v>0</v>
      </c>
      <c r="P19" s="5"/>
      <c r="Q19" s="5"/>
    </row>
    <row r="20" spans="2:17" x14ac:dyDescent="0.15">
      <c r="B20" s="41" t="s">
        <v>157</v>
      </c>
      <c r="C20" s="38">
        <f>IF($C$11&lt;13,0,ABS(PPMT($C$10/12,13,$C$11,$C$9)))</f>
        <v>0</v>
      </c>
      <c r="D20" s="38">
        <f>IF($C$11&lt;14,0,ABS(PPMT($C$10/12,14,$C$11,$C$9)))</f>
        <v>0</v>
      </c>
      <c r="E20" s="38">
        <f>IF($C$11&lt;15,0,ABS(PPMT($C$10/12,15,$C$11,$C$9)))</f>
        <v>0</v>
      </c>
      <c r="F20" s="38">
        <f>IF($C$11&lt;16,0,ABS(PPMT($C$10/12,16,$C$11,$C$9)))</f>
        <v>0</v>
      </c>
      <c r="G20" s="38">
        <f>IF($C$11&lt;17,0,ABS(PPMT($C$10/12,17,$C$11,$C$9)))</f>
        <v>0</v>
      </c>
      <c r="H20" s="38">
        <f>IF($C$11&lt;18,0,ABS(PPMT($C$10/12,18,$C$11,$C$9)))</f>
        <v>0</v>
      </c>
      <c r="I20" s="38">
        <f>IF($C$11&lt;19,0,ABS(PPMT($C$10/12,19,$C$11,$C$9)))</f>
        <v>0</v>
      </c>
      <c r="J20" s="38">
        <f>IF($C$11&lt;20,0,ABS(PPMT($C$10/12,20,$C$11,$C$9)))</f>
        <v>0</v>
      </c>
      <c r="K20" s="38">
        <f>IF($C$11&lt;21,0,ABS(PPMT($C$10/12,21,$C$11,$C$9)))</f>
        <v>0</v>
      </c>
      <c r="L20" s="38">
        <f>IF($C$11&lt;22,0,ABS(PPMT($C$10/12,22,$C$11,$C$9)))</f>
        <v>0</v>
      </c>
      <c r="M20" s="38">
        <f>IF($C$11&lt;23,0,ABS(PPMT($C$10/12,23,$C$11,$C$9)))</f>
        <v>0</v>
      </c>
      <c r="N20" s="38">
        <f>IF($C$11&lt;24,0,ABS(PPMT($C$10/12,24,$C$11,$C$9)))</f>
        <v>0</v>
      </c>
      <c r="O20" s="298">
        <f>SUM(C20:N20)</f>
        <v>0</v>
      </c>
      <c r="P20" s="5"/>
      <c r="Q20" s="5"/>
    </row>
    <row r="21" spans="2:17" x14ac:dyDescent="0.15">
      <c r="B21" s="41" t="s">
        <v>158</v>
      </c>
      <c r="C21" s="39">
        <f>N17-C20</f>
        <v>0</v>
      </c>
      <c r="D21" s="39">
        <f>C21-D20</f>
        <v>0</v>
      </c>
      <c r="E21" s="39">
        <f t="shared" ref="E21:N21" si="1">D21-E20</f>
        <v>0</v>
      </c>
      <c r="F21" s="39">
        <f t="shared" si="1"/>
        <v>0</v>
      </c>
      <c r="G21" s="39">
        <f t="shared" si="1"/>
        <v>0</v>
      </c>
      <c r="H21" s="39">
        <f t="shared" si="1"/>
        <v>0</v>
      </c>
      <c r="I21" s="39">
        <f t="shared" si="1"/>
        <v>0</v>
      </c>
      <c r="J21" s="39">
        <f t="shared" si="1"/>
        <v>0</v>
      </c>
      <c r="K21" s="39">
        <f t="shared" si="1"/>
        <v>0</v>
      </c>
      <c r="L21" s="39">
        <f t="shared" si="1"/>
        <v>0</v>
      </c>
      <c r="M21" s="39">
        <f t="shared" si="1"/>
        <v>0</v>
      </c>
      <c r="N21" s="39">
        <f t="shared" si="1"/>
        <v>0</v>
      </c>
      <c r="O21" s="35"/>
      <c r="P21" s="5"/>
      <c r="Q21" s="5"/>
    </row>
    <row r="22" spans="2:17" x14ac:dyDescent="0.15">
      <c r="B22" s="24" t="s">
        <v>160</v>
      </c>
      <c r="C22" s="36"/>
      <c r="D22" s="36"/>
      <c r="E22" s="36"/>
      <c r="F22" s="36"/>
      <c r="G22" s="36"/>
      <c r="H22" s="36"/>
      <c r="I22" s="36"/>
      <c r="J22" s="36"/>
      <c r="K22" s="36"/>
      <c r="L22" s="36"/>
      <c r="M22" s="36"/>
      <c r="N22" s="36"/>
      <c r="O22" s="36"/>
      <c r="P22" s="5"/>
      <c r="Q22" s="5"/>
    </row>
    <row r="23" spans="2:17" x14ac:dyDescent="0.15">
      <c r="B23" s="41" t="s">
        <v>58</v>
      </c>
      <c r="C23" s="38">
        <f>IF($C$11&lt;25,0,ABS(IPMT($C$10/12,25,$C$11,$C$9)))</f>
        <v>0</v>
      </c>
      <c r="D23" s="38">
        <f>IF($C$11&lt;26,0,ABS(IPMT($C$10/12,26,$C$11,$C$9)))</f>
        <v>0</v>
      </c>
      <c r="E23" s="38">
        <f>IF($C$11&lt;27,0,ABS(IPMT($C$10/12,27,$C$11,$C$9)))</f>
        <v>0</v>
      </c>
      <c r="F23" s="38">
        <f>IF($C$11&lt;28,0,ABS(IPMT($C$10/12,28,$C$11,$C$9)))</f>
        <v>0</v>
      </c>
      <c r="G23" s="38">
        <f>IF($C$11&lt;29,0,ABS(IPMT($C$10/12,29,$C$11,$C$9)))</f>
        <v>0</v>
      </c>
      <c r="H23" s="38">
        <f>IF($C$11&lt;30,0,ABS(IPMT($C$10/12,30,$C$11,$C$9)))</f>
        <v>0</v>
      </c>
      <c r="I23" s="38">
        <f>IF($C$11&lt;31,0,ABS(IPMT($C$10/12,31,$C$11,$C$9)))</f>
        <v>0</v>
      </c>
      <c r="J23" s="38">
        <f>IF($C$11&lt;32,0,ABS(IPMT($C$10/12,32,$C$11,$C$9)))</f>
        <v>0</v>
      </c>
      <c r="K23" s="38">
        <f>IF($C$11&lt;33,0,ABS(IPMT($C$10/12,33,$C$11,$C$9)))</f>
        <v>0</v>
      </c>
      <c r="L23" s="38">
        <f>IF($C$11&lt;34,0,ABS(IPMT($C$10/12,34,$C$11,$C$9)))</f>
        <v>0</v>
      </c>
      <c r="M23" s="38">
        <f>IF($C$11&lt;35,0,ABS(IPMT($C$10/12,35,$C$11,$C$9)))</f>
        <v>0</v>
      </c>
      <c r="N23" s="38">
        <f>IF($C$11&lt;36,0,ABS(IPMT($C$10/12,36,$C$11,$C$9)))</f>
        <v>0</v>
      </c>
      <c r="O23" s="298">
        <f>SUM(C23:N23)</f>
        <v>0</v>
      </c>
      <c r="P23" s="5"/>
      <c r="Q23" s="5"/>
    </row>
    <row r="24" spans="2:17" x14ac:dyDescent="0.15">
      <c r="B24" s="41" t="s">
        <v>157</v>
      </c>
      <c r="C24" s="38">
        <f>IF($C$11&lt;25,0,ABS(PPMT($C$10/12,25,$C$11,$C$9)))</f>
        <v>0</v>
      </c>
      <c r="D24" s="38">
        <f>IF($C$11&lt;26,0,ABS(PPMT($C$10/12,26,$C$11,$C$9)))</f>
        <v>0</v>
      </c>
      <c r="E24" s="38">
        <f>IF($C$11&lt;27,0,ABS(PPMT($C$10/12,27,$C$11,$C$9)))</f>
        <v>0</v>
      </c>
      <c r="F24" s="38">
        <f>IF($C$11&lt;28,0,ABS(PPMT($C$10/12,28,$C$11,$C$9)))</f>
        <v>0</v>
      </c>
      <c r="G24" s="38">
        <f>IF($C$11&lt;29,0,ABS(PPMT($C$10/12,29,$C$11,$C$9)))</f>
        <v>0</v>
      </c>
      <c r="H24" s="38">
        <f>IF($C$11&lt;30,0,ABS(PPMT($C$10/12,30,$C$11,$C$9)))</f>
        <v>0</v>
      </c>
      <c r="I24" s="38">
        <f>IF($C$11&lt;31,0,ABS(PPMT($C$10/12,31,$C$11,$C$9)))</f>
        <v>0</v>
      </c>
      <c r="J24" s="38">
        <f>IF($C$11&lt;32,0,ABS(PPMT($C$10/12,32,$C$11,$C$9)))</f>
        <v>0</v>
      </c>
      <c r="K24" s="38">
        <f>IF($C$11&lt;33,0,ABS(PPMT($C$10/12,33,$C$11,$C$9)))</f>
        <v>0</v>
      </c>
      <c r="L24" s="38">
        <f>IF($C$11&lt;34,0,ABS(PPMT($C$10/12,34,$C$11,$C$9)))</f>
        <v>0</v>
      </c>
      <c r="M24" s="38">
        <f>IF($C$11&lt;35,0,ABS(PPMT($C$10/12,35,$C$11,$C$9)))</f>
        <v>0</v>
      </c>
      <c r="N24" s="38">
        <f>IF($C$11&lt;36,0,ABS(PPMT($C$10/12,36,$C$11,$C$9)))</f>
        <v>0</v>
      </c>
      <c r="O24" s="298">
        <f>SUM(C24:N24)</f>
        <v>0</v>
      </c>
      <c r="P24" s="5"/>
      <c r="Q24" s="5"/>
    </row>
    <row r="25" spans="2:17" x14ac:dyDescent="0.15">
      <c r="B25" s="41" t="s">
        <v>158</v>
      </c>
      <c r="C25" s="39">
        <f>N21-C24</f>
        <v>0</v>
      </c>
      <c r="D25" s="39">
        <f>C25-D24</f>
        <v>0</v>
      </c>
      <c r="E25" s="39">
        <f t="shared" ref="E25:N25" si="2">D25-E24</f>
        <v>0</v>
      </c>
      <c r="F25" s="39">
        <f t="shared" si="2"/>
        <v>0</v>
      </c>
      <c r="G25" s="39">
        <f t="shared" si="2"/>
        <v>0</v>
      </c>
      <c r="H25" s="39">
        <f t="shared" si="2"/>
        <v>0</v>
      </c>
      <c r="I25" s="39">
        <f t="shared" si="2"/>
        <v>0</v>
      </c>
      <c r="J25" s="39">
        <f t="shared" si="2"/>
        <v>0</v>
      </c>
      <c r="K25" s="39">
        <f t="shared" si="2"/>
        <v>0</v>
      </c>
      <c r="L25" s="39">
        <f t="shared" si="2"/>
        <v>0</v>
      </c>
      <c r="M25" s="39">
        <f t="shared" si="2"/>
        <v>0</v>
      </c>
      <c r="N25" s="39">
        <f t="shared" si="2"/>
        <v>0</v>
      </c>
      <c r="O25" s="35"/>
      <c r="P25" s="5"/>
      <c r="Q25" s="5"/>
    </row>
    <row r="26" spans="2:17" x14ac:dyDescent="0.15">
      <c r="B26" s="9"/>
      <c r="C26" s="9"/>
      <c r="D26" s="5"/>
      <c r="E26" s="5"/>
      <c r="F26" s="5"/>
      <c r="G26" s="5"/>
      <c r="H26" s="5"/>
      <c r="I26" s="5"/>
      <c r="J26" s="5"/>
      <c r="K26" s="5"/>
      <c r="L26" s="5"/>
      <c r="M26" s="5"/>
      <c r="N26" s="5"/>
      <c r="O26" s="5"/>
      <c r="P26" s="5"/>
      <c r="Q26" s="5"/>
    </row>
    <row r="27" spans="2:17" x14ac:dyDescent="0.15">
      <c r="B27" s="9"/>
      <c r="C27" s="9"/>
      <c r="D27" s="12"/>
      <c r="E27" s="5"/>
      <c r="F27" s="5"/>
      <c r="G27" s="5"/>
      <c r="H27" s="5"/>
      <c r="I27" s="5"/>
      <c r="J27" s="5"/>
      <c r="K27" s="5"/>
      <c r="L27" s="5"/>
      <c r="M27" s="5"/>
      <c r="N27" s="5"/>
      <c r="O27" s="5"/>
      <c r="P27" s="5"/>
      <c r="Q27" s="5"/>
    </row>
    <row r="28" spans="2:17" ht="13" thickBot="1" x14ac:dyDescent="0.2">
      <c r="B28" s="711" t="s">
        <v>55</v>
      </c>
      <c r="C28" s="711"/>
      <c r="D28" s="5"/>
      <c r="E28" s="5"/>
      <c r="F28" s="5"/>
      <c r="G28" s="5"/>
      <c r="H28" s="5"/>
      <c r="I28" s="5"/>
      <c r="J28" s="5"/>
      <c r="K28" s="5"/>
      <c r="L28" s="5"/>
      <c r="M28" s="5"/>
      <c r="N28" s="5"/>
      <c r="O28" s="5"/>
      <c r="P28" s="5"/>
      <c r="Q28" s="5"/>
    </row>
    <row r="29" spans="2:17" ht="13" thickTop="1" x14ac:dyDescent="0.15">
      <c r="B29" s="142" t="s">
        <v>152</v>
      </c>
      <c r="C29" s="364">
        <f>CommMortgage</f>
        <v>0</v>
      </c>
      <c r="D29" s="5"/>
      <c r="E29" s="5"/>
      <c r="F29" s="5"/>
      <c r="G29" s="5"/>
      <c r="H29" s="5"/>
      <c r="I29" s="5"/>
      <c r="J29" s="5"/>
      <c r="K29" s="5"/>
      <c r="L29" s="5"/>
      <c r="M29" s="5"/>
      <c r="N29" s="5"/>
      <c r="O29" s="5"/>
      <c r="P29" s="5"/>
      <c r="Q29" s="5"/>
    </row>
    <row r="30" spans="2:17" x14ac:dyDescent="0.15">
      <c r="B30" s="24" t="s">
        <v>153</v>
      </c>
      <c r="C30" s="27">
        <f>'1-StartingPoint'!E38</f>
        <v>0</v>
      </c>
      <c r="D30" s="5"/>
      <c r="E30" s="5"/>
      <c r="F30" s="5"/>
      <c r="G30" s="5"/>
      <c r="H30" s="5"/>
      <c r="I30" s="5"/>
      <c r="J30" s="5"/>
      <c r="K30" s="5"/>
      <c r="L30" s="5"/>
      <c r="M30" s="5"/>
      <c r="N30" s="5"/>
      <c r="O30" s="5"/>
      <c r="P30" s="5"/>
      <c r="Q30" s="5"/>
    </row>
    <row r="31" spans="2:17" x14ac:dyDescent="0.15">
      <c r="B31" s="24" t="s">
        <v>154</v>
      </c>
      <c r="C31" s="25">
        <f>'1-StartingPoint'!F38</f>
        <v>0</v>
      </c>
      <c r="D31" s="5"/>
      <c r="E31" s="5"/>
      <c r="F31" s="5"/>
      <c r="G31" s="5"/>
      <c r="H31" s="5"/>
      <c r="I31" s="5"/>
      <c r="J31" s="5"/>
      <c r="K31" s="5"/>
      <c r="L31" s="5"/>
      <c r="M31" s="5"/>
      <c r="N31" s="5"/>
      <c r="O31" s="5"/>
      <c r="P31" s="5"/>
      <c r="Q31" s="5"/>
    </row>
    <row r="32" spans="2:17" x14ac:dyDescent="0.15">
      <c r="B32" s="24" t="s">
        <v>155</v>
      </c>
      <c r="C32" s="26" t="e">
        <f>ABS(PMT(C30/12,C31,C29))</f>
        <v>#NUM!</v>
      </c>
      <c r="D32" s="5"/>
      <c r="E32" s="5"/>
      <c r="F32" s="5"/>
      <c r="G32" s="5"/>
      <c r="H32" s="5"/>
      <c r="I32" s="5"/>
      <c r="J32" s="5"/>
      <c r="K32" s="5"/>
      <c r="L32" s="5"/>
      <c r="M32" s="5"/>
      <c r="N32" s="5"/>
      <c r="O32" s="5"/>
      <c r="P32" s="5"/>
      <c r="Q32" s="5"/>
    </row>
    <row r="33" spans="2:17" x14ac:dyDescent="0.15">
      <c r="B33" s="24"/>
      <c r="C33" s="40" t="str">
        <f>SalesForecastYear1!$C$23</f>
        <v xml:space="preserve"> Aug</v>
      </c>
      <c r="D33" s="40" t="str">
        <f>SalesForecastYear1!$D$23</f>
        <v>Sep</v>
      </c>
      <c r="E33" s="40" t="str">
        <f>SalesForecastYear1!$E$23</f>
        <v>Oct</v>
      </c>
      <c r="F33" s="40" t="str">
        <f>SalesForecastYear1!$F$23</f>
        <v>Nov</v>
      </c>
      <c r="G33" s="40" t="str">
        <f>SalesForecastYear1!$G$23</f>
        <v>Dec</v>
      </c>
      <c r="H33" s="40" t="str">
        <f>SalesForecastYear1!$H$23</f>
        <v>Jan</v>
      </c>
      <c r="I33" s="40" t="str">
        <f>SalesForecastYear1!$I$23</f>
        <v>Feb</v>
      </c>
      <c r="J33" s="40" t="str">
        <f>SalesForecastYear1!$J$23</f>
        <v>Mar</v>
      </c>
      <c r="K33" s="40" t="str">
        <f>SalesForecastYear1!$K$23</f>
        <v>Apr</v>
      </c>
      <c r="L33" s="40" t="str">
        <f>SalesForecastYear1!$L$23</f>
        <v>May</v>
      </c>
      <c r="M33" s="40" t="str">
        <f>SalesForecastYear1!$M$23</f>
        <v>Jun</v>
      </c>
      <c r="N33" s="40" t="str">
        <f>SalesForecastYear1!$N$23</f>
        <v>Jul</v>
      </c>
      <c r="O33" s="40" t="s">
        <v>8</v>
      </c>
      <c r="P33" s="5"/>
      <c r="Q33" s="5"/>
    </row>
    <row r="34" spans="2:17" x14ac:dyDescent="0.15">
      <c r="B34" s="24" t="s">
        <v>156</v>
      </c>
      <c r="C34" s="7"/>
      <c r="D34" s="7"/>
      <c r="E34" s="7"/>
      <c r="F34" s="7"/>
      <c r="G34" s="7"/>
      <c r="H34" s="7"/>
      <c r="I34" s="7"/>
      <c r="J34" s="7"/>
      <c r="K34" s="7"/>
      <c r="L34" s="7"/>
      <c r="M34" s="7"/>
      <c r="N34" s="7"/>
      <c r="O34" s="7"/>
      <c r="P34" s="5"/>
      <c r="Q34" s="5"/>
    </row>
    <row r="35" spans="2:17" x14ac:dyDescent="0.15">
      <c r="B35" s="41" t="s">
        <v>58</v>
      </c>
      <c r="C35" s="38" t="e">
        <f>ABS(IPMT($C$30/12,1,$C$31,$C$29))</f>
        <v>#NUM!</v>
      </c>
      <c r="D35" s="38" t="e">
        <f>ABS(IPMT($C$30/12,2,$C$31,$C$29))</f>
        <v>#NUM!</v>
      </c>
      <c r="E35" s="38" t="e">
        <f>ABS(IPMT($C$30/12,3,$C$31,$C$29))</f>
        <v>#NUM!</v>
      </c>
      <c r="F35" s="38" t="e">
        <f>ABS(IPMT($C$30/12,4,$C$31,$C$29))</f>
        <v>#NUM!</v>
      </c>
      <c r="G35" s="38" t="e">
        <f>ABS(IPMT($C$30/12,5,$C$31,$C$29))</f>
        <v>#NUM!</v>
      </c>
      <c r="H35" s="38" t="e">
        <f>ABS(IPMT($C$30/12,6,$C$31,$C$29))</f>
        <v>#NUM!</v>
      </c>
      <c r="I35" s="38" t="e">
        <f>ABS(IPMT($C$30/12,7,$C$31,$C$29))</f>
        <v>#NUM!</v>
      </c>
      <c r="J35" s="38" t="e">
        <f>ABS(IPMT($C$30/12,8,$C$31,$C$29))</f>
        <v>#NUM!</v>
      </c>
      <c r="K35" s="38" t="e">
        <f>ABS(IPMT($C$30/12,9,$C$31,$C$29))</f>
        <v>#NUM!</v>
      </c>
      <c r="L35" s="38" t="e">
        <f>ABS(IPMT($C$30/12,10,$C$31,$C$29))</f>
        <v>#NUM!</v>
      </c>
      <c r="M35" s="38" t="e">
        <f>ABS(IPMT($C$30/12,11,$C$31,$C$29))</f>
        <v>#NUM!</v>
      </c>
      <c r="N35" s="38" t="e">
        <f>ABS(IPMT($C$30/12,12,$C$31,$C$29))</f>
        <v>#NUM!</v>
      </c>
      <c r="O35" s="298" t="e">
        <f>SUM(C35:N35)</f>
        <v>#NUM!</v>
      </c>
      <c r="P35" s="5"/>
      <c r="Q35" s="5"/>
    </row>
    <row r="36" spans="2:17" x14ac:dyDescent="0.15">
      <c r="B36" s="41" t="s">
        <v>157</v>
      </c>
      <c r="C36" s="38" t="e">
        <f>ABS(PPMT($C$30/12,1,$C$31,$C$29))</f>
        <v>#NUM!</v>
      </c>
      <c r="D36" s="38" t="e">
        <f>ABS(PPMT($C$30/12,2,$C$31,$C$29))</f>
        <v>#NUM!</v>
      </c>
      <c r="E36" s="38" t="e">
        <f>ABS(PPMT($C$30/12,3,$C$31,$C$29))</f>
        <v>#NUM!</v>
      </c>
      <c r="F36" s="38" t="e">
        <f>ABS(PPMT($C$30/12,4,$C$31,$C$29))</f>
        <v>#NUM!</v>
      </c>
      <c r="G36" s="38" t="e">
        <f>ABS(PPMT($C$30/12,5,$C$31,$C$29))</f>
        <v>#NUM!</v>
      </c>
      <c r="H36" s="38" t="e">
        <f>ABS(PPMT($C$30/12,6,$C$31,$C$29))</f>
        <v>#NUM!</v>
      </c>
      <c r="I36" s="38" t="e">
        <f>ABS(PPMT($C$30/12,7,$C$31,$C$29))</f>
        <v>#NUM!</v>
      </c>
      <c r="J36" s="38" t="e">
        <f>ABS(PPMT($C$30/12,8,$C$31,$C$29))</f>
        <v>#NUM!</v>
      </c>
      <c r="K36" s="38" t="e">
        <f>ABS(PPMT($C$30/12,9,$C$31,$C$29))</f>
        <v>#NUM!</v>
      </c>
      <c r="L36" s="38" t="e">
        <f>ABS(PPMT($C$30/12,10,$C$31,$C$29))</f>
        <v>#NUM!</v>
      </c>
      <c r="M36" s="38" t="e">
        <f>ABS(PPMT($C$30/12,11,$C$31,$C$29))</f>
        <v>#NUM!</v>
      </c>
      <c r="N36" s="38" t="e">
        <f>ABS(PPMT($C$30/12,12,$C$31,$C$29))</f>
        <v>#NUM!</v>
      </c>
      <c r="O36" s="298" t="e">
        <f>SUM(C36:N36)</f>
        <v>#NUM!</v>
      </c>
      <c r="P36" s="5"/>
      <c r="Q36" s="5"/>
    </row>
    <row r="37" spans="2:17" x14ac:dyDescent="0.15">
      <c r="B37" s="41" t="s">
        <v>158</v>
      </c>
      <c r="C37" s="39" t="e">
        <f>$C$29-C36</f>
        <v>#NUM!</v>
      </c>
      <c r="D37" s="39" t="e">
        <f t="shared" ref="D37:N37" si="3">C37-D36</f>
        <v>#NUM!</v>
      </c>
      <c r="E37" s="39" t="e">
        <f t="shared" si="3"/>
        <v>#NUM!</v>
      </c>
      <c r="F37" s="39" t="e">
        <f t="shared" si="3"/>
        <v>#NUM!</v>
      </c>
      <c r="G37" s="39" t="e">
        <f t="shared" si="3"/>
        <v>#NUM!</v>
      </c>
      <c r="H37" s="39" t="e">
        <f t="shared" si="3"/>
        <v>#NUM!</v>
      </c>
      <c r="I37" s="39" t="e">
        <f t="shared" si="3"/>
        <v>#NUM!</v>
      </c>
      <c r="J37" s="39" t="e">
        <f t="shared" si="3"/>
        <v>#NUM!</v>
      </c>
      <c r="K37" s="39" t="e">
        <f t="shared" si="3"/>
        <v>#NUM!</v>
      </c>
      <c r="L37" s="39" t="e">
        <f t="shared" si="3"/>
        <v>#NUM!</v>
      </c>
      <c r="M37" s="39" t="e">
        <f t="shared" si="3"/>
        <v>#NUM!</v>
      </c>
      <c r="N37" s="39" t="e">
        <f t="shared" si="3"/>
        <v>#NUM!</v>
      </c>
      <c r="O37" s="35"/>
      <c r="P37" s="5"/>
      <c r="Q37" s="5"/>
    </row>
    <row r="38" spans="2:17" x14ac:dyDescent="0.15">
      <c r="B38" s="24" t="s">
        <v>159</v>
      </c>
      <c r="C38" s="36"/>
      <c r="D38" s="36"/>
      <c r="E38" s="36"/>
      <c r="F38" s="36"/>
      <c r="G38" s="36"/>
      <c r="H38" s="36"/>
      <c r="I38" s="36"/>
      <c r="J38" s="36"/>
      <c r="K38" s="36"/>
      <c r="L38" s="36"/>
      <c r="M38" s="36"/>
      <c r="N38" s="36"/>
      <c r="O38" s="36"/>
      <c r="P38" s="5"/>
      <c r="Q38" s="5"/>
    </row>
    <row r="39" spans="2:17" x14ac:dyDescent="0.15">
      <c r="B39" s="41" t="s">
        <v>58</v>
      </c>
      <c r="C39" s="38">
        <f>IF($C$31&lt;13,0,ABS(IPMT($C$30/12,13,$C$31,$C$29)))</f>
        <v>0</v>
      </c>
      <c r="D39" s="38">
        <f>IF($C$31&lt;14,0,ABS(IPMT($C$30/12,14,$C$31,$C$29)))</f>
        <v>0</v>
      </c>
      <c r="E39" s="38">
        <f>IF($C$31&lt;15,0,ABS(IPMT($C$30/12,15,$C$31,$C$29)))</f>
        <v>0</v>
      </c>
      <c r="F39" s="38">
        <f>IF($C$31&lt;16,0,ABS(IPMT($C$30/12,16,$C$31,$C$29)))</f>
        <v>0</v>
      </c>
      <c r="G39" s="38">
        <f>IF($C$31&lt;17,0,ABS(IPMT($C$30/12,17,$C$31,$C$29)))</f>
        <v>0</v>
      </c>
      <c r="H39" s="38">
        <f>IF($C$31&lt;18,0,ABS(IPMT($C$30/12,18,$C$31,$C$29)))</f>
        <v>0</v>
      </c>
      <c r="I39" s="38">
        <f>IF($C$31&lt;19,0,ABS(IPMT($C$30/12,19,$C$31,$C$29)))</f>
        <v>0</v>
      </c>
      <c r="J39" s="38">
        <f>IF($C$31&lt;20,0,ABS(IPMT($C$30/12,20,$C$31,$C$29)))</f>
        <v>0</v>
      </c>
      <c r="K39" s="38">
        <f>IF($C$31&lt;21,0,ABS(IPMT($C$30/12,21,$C$31,$C$29)))</f>
        <v>0</v>
      </c>
      <c r="L39" s="38">
        <f>IF($C$31&lt;22,0,ABS(IPMT($C$30/12,22,$C$31,$C$29)))</f>
        <v>0</v>
      </c>
      <c r="M39" s="38">
        <f>IF($C$31&lt;23,0,ABS(IPMT($C$30/23,11,$C$31,$C$29)))</f>
        <v>0</v>
      </c>
      <c r="N39" s="38">
        <f>IF($C$31&lt;24,0,ABS(IPMT($C$30/12,24,$C$31,$C$29)))</f>
        <v>0</v>
      </c>
      <c r="O39" s="298">
        <f>SUM(C39:N39)</f>
        <v>0</v>
      </c>
      <c r="P39" s="5"/>
      <c r="Q39" s="5"/>
    </row>
    <row r="40" spans="2:17" x14ac:dyDescent="0.15">
      <c r="B40" s="41" t="s">
        <v>157</v>
      </c>
      <c r="C40" s="38">
        <f>IF($C$31&lt;13,0,ABS(PPMT($C$30/12,13,$C$31,$C$29)))</f>
        <v>0</v>
      </c>
      <c r="D40" s="38">
        <f>IF($C$31&lt;14,0,ABS(PPMT($C$30/12,14,$C$31,$C$29)))</f>
        <v>0</v>
      </c>
      <c r="E40" s="38">
        <f>IF($C$31&lt;13,0,ABS(PPMT($C$30/12,15,$C$31,$C$29)))</f>
        <v>0</v>
      </c>
      <c r="F40" s="38">
        <f>IF($C$31&lt;16,0,ABS(PPMT($C$30/12,16,$C$31,$C$29)))</f>
        <v>0</v>
      </c>
      <c r="G40" s="38">
        <f>IF($C$31&lt;17,0,ABS(PPMT($C$30/12,17,$C$31,$C$29)))</f>
        <v>0</v>
      </c>
      <c r="H40" s="38">
        <f>IF($C$31&lt;18,0,ABS(PPMT($C$30/12,18,$C$31,$C$29)))</f>
        <v>0</v>
      </c>
      <c r="I40" s="38">
        <f>IF($C$31&lt;19,0,ABS(PPMT($C$30/12,19,$C$31,$C$29)))</f>
        <v>0</v>
      </c>
      <c r="J40" s="38">
        <f>IF($C$31&lt;20,0,ABS(PPMT($C$30/12,20,$C$31,$C$29)))</f>
        <v>0</v>
      </c>
      <c r="K40" s="38">
        <f>IF($C$31&lt;21,0,ABS(PPMT($C$30/12,21,$C$31,$C$29)))</f>
        <v>0</v>
      </c>
      <c r="L40" s="38">
        <f>IF($C$31&lt;22,0,ABS(PPMT($C$30/12,22,$C$31,$C$29)))</f>
        <v>0</v>
      </c>
      <c r="M40" s="38">
        <f>IF($C$31&lt;23,0,ABS(PPMT($C$30/12,23,$C$31,$C$29)))</f>
        <v>0</v>
      </c>
      <c r="N40" s="38">
        <f>IF($C$31&lt;24,0,ABS(PPMT($C$30/12,24,$C$31,$C$29)))</f>
        <v>0</v>
      </c>
      <c r="O40" s="298">
        <f>SUM(C40:N40)</f>
        <v>0</v>
      </c>
      <c r="P40" s="5"/>
      <c r="Q40" s="5"/>
    </row>
    <row r="41" spans="2:17" x14ac:dyDescent="0.15">
      <c r="B41" s="41" t="s">
        <v>158</v>
      </c>
      <c r="C41" s="39" t="e">
        <f>N37-C40</f>
        <v>#NUM!</v>
      </c>
      <c r="D41" s="39" t="e">
        <f t="shared" ref="D41:N41" si="4">C41-D40</f>
        <v>#NUM!</v>
      </c>
      <c r="E41" s="39" t="e">
        <f t="shared" si="4"/>
        <v>#NUM!</v>
      </c>
      <c r="F41" s="39" t="e">
        <f t="shared" si="4"/>
        <v>#NUM!</v>
      </c>
      <c r="G41" s="39" t="e">
        <f t="shared" si="4"/>
        <v>#NUM!</v>
      </c>
      <c r="H41" s="39" t="e">
        <f t="shared" si="4"/>
        <v>#NUM!</v>
      </c>
      <c r="I41" s="39" t="e">
        <f t="shared" si="4"/>
        <v>#NUM!</v>
      </c>
      <c r="J41" s="39" t="e">
        <f t="shared" si="4"/>
        <v>#NUM!</v>
      </c>
      <c r="K41" s="39" t="e">
        <f t="shared" si="4"/>
        <v>#NUM!</v>
      </c>
      <c r="L41" s="39" t="e">
        <f t="shared" si="4"/>
        <v>#NUM!</v>
      </c>
      <c r="M41" s="39" t="e">
        <f t="shared" si="4"/>
        <v>#NUM!</v>
      </c>
      <c r="N41" s="39" t="e">
        <f t="shared" si="4"/>
        <v>#NUM!</v>
      </c>
      <c r="O41" s="35"/>
      <c r="P41" s="5"/>
      <c r="Q41" s="5"/>
    </row>
    <row r="42" spans="2:17" x14ac:dyDescent="0.15">
      <c r="B42" s="24" t="s">
        <v>160</v>
      </c>
      <c r="C42" s="36"/>
      <c r="D42" s="36"/>
      <c r="E42" s="36"/>
      <c r="F42" s="36"/>
      <c r="G42" s="36"/>
      <c r="H42" s="36"/>
      <c r="I42" s="36"/>
      <c r="J42" s="36"/>
      <c r="K42" s="36"/>
      <c r="L42" s="36"/>
      <c r="M42" s="36"/>
      <c r="N42" s="36"/>
      <c r="O42" s="36"/>
      <c r="P42" s="5"/>
      <c r="Q42" s="5"/>
    </row>
    <row r="43" spans="2:17" x14ac:dyDescent="0.15">
      <c r="B43" s="41" t="s">
        <v>58</v>
      </c>
      <c r="C43" s="38">
        <f>IF($C$31&lt;25,0,ABS(IPMT($C$30/12,25,$C$31,$C$29)))</f>
        <v>0</v>
      </c>
      <c r="D43" s="38">
        <f>IF($C$31&lt;26,0,ABS(IPMT($C$30/12,26,$C$31,$C$29)))</f>
        <v>0</v>
      </c>
      <c r="E43" s="38">
        <f>IF($C$31&lt;27,0,ABS(IPMT($C$30/12,27,$C$31,$C$29)))</f>
        <v>0</v>
      </c>
      <c r="F43" s="38">
        <f>IF($C$31&lt;28,0,ABS(IPMT($C$30/12,28,$C$31,$C$29)))</f>
        <v>0</v>
      </c>
      <c r="G43" s="38">
        <f>IF($C$31&lt;29,0,ABS(IPMT($C$30/12,29,$C$31,$C$29)))</f>
        <v>0</v>
      </c>
      <c r="H43" s="38">
        <f>IF($C$31&lt;29,0,ABS(IPMT($C$30/12,30,$C$31,$C$29)))</f>
        <v>0</v>
      </c>
      <c r="I43" s="38">
        <f>IF($C$31&lt;30,0,ABS(IPMT($C$30/12,31,$C$31,$C$29)))</f>
        <v>0</v>
      </c>
      <c r="J43" s="38">
        <f>IF($C$31&lt;31,0,ABS(IPMT($C$30/12,32,$C$31,$C$29)))</f>
        <v>0</v>
      </c>
      <c r="K43" s="38">
        <f>IF($C$31&lt;32,0,ABS(IPMT($C$30/12,33,$C$31,$C$29)))</f>
        <v>0</v>
      </c>
      <c r="L43" s="38">
        <f>IF($C$31&lt;33,0,ABS(IPMT($C$30/12,34,$C$31,$C$29)))</f>
        <v>0</v>
      </c>
      <c r="M43" s="38">
        <f>IF($C$31&lt;34,0,ABS(IPMT($C$30/12,35,$C$31,$C$29)))</f>
        <v>0</v>
      </c>
      <c r="N43" s="38">
        <f>IF($C$31&lt;35,0,ABS(IPMT($C$30/12,36,$C$31,$C$29)))</f>
        <v>0</v>
      </c>
      <c r="O43" s="298">
        <f>SUM(C43:N43)</f>
        <v>0</v>
      </c>
      <c r="P43" s="5"/>
      <c r="Q43" s="5"/>
    </row>
    <row r="44" spans="2:17" x14ac:dyDescent="0.15">
      <c r="B44" s="41" t="s">
        <v>157</v>
      </c>
      <c r="C44" s="38">
        <f>IF($C$31&lt;25,0,ABS(PPMT($C$30/12,25,$C$31,$C$29)))</f>
        <v>0</v>
      </c>
      <c r="D44" s="38">
        <f>IF($C$31&lt;26,0,ABS(PPMT($C$30/12,26,$C$31,$C$29)))</f>
        <v>0</v>
      </c>
      <c r="E44" s="38">
        <f>IF($C$31&lt;27,0,ABS(PPMT($C$30/12,27,$C$31,$C$29)))</f>
        <v>0</v>
      </c>
      <c r="F44" s="38">
        <f>IF($C$31&lt;28,0,ABS(PPMT($C$30/12,28,$C$31,$C$29)))</f>
        <v>0</v>
      </c>
      <c r="G44" s="38">
        <f>IF($C$31&lt;28,0,ABS(PPMT($C$30/12,29,$C$31,$C$29)))</f>
        <v>0</v>
      </c>
      <c r="H44" s="38">
        <f>IF($C$31&lt;29,0,ABS(PPMT($C$30/12,30,$C$31,$C$29)))</f>
        <v>0</v>
      </c>
      <c r="I44" s="38">
        <f>IF($C$31&lt;30,0,ABS(PPMT($C$30/12,31,$C$31,$C$29)))</f>
        <v>0</v>
      </c>
      <c r="J44" s="38">
        <f>IF($C$31&lt;31,0,ABS(PPMT($C$30/12,32,$C$31,$C$29)))</f>
        <v>0</v>
      </c>
      <c r="K44" s="38">
        <f>IF($C$31&lt;32,0,ABS(PPMT($C$30/12,33,$C$31,$C$29)))</f>
        <v>0</v>
      </c>
      <c r="L44" s="38">
        <f>IF($C$31&lt;33,0,ABS(PPMT($C$30/12,34,$C$31,$C$29)))</f>
        <v>0</v>
      </c>
      <c r="M44" s="38">
        <f>IF($C$31&lt;34,0,ABS(PPMT($C$30/12,35,$C$31,$C$29)))</f>
        <v>0</v>
      </c>
      <c r="N44" s="38">
        <f>IF($C$31&lt;35,0,ABS(PPMT($C$30/12,36,$C$31,$C$29)))</f>
        <v>0</v>
      </c>
      <c r="O44" s="298">
        <f>SUM(C44:N44)</f>
        <v>0</v>
      </c>
      <c r="P44" s="5"/>
      <c r="Q44" s="5"/>
    </row>
    <row r="45" spans="2:17" x14ac:dyDescent="0.15">
      <c r="B45" s="41" t="s">
        <v>158</v>
      </c>
      <c r="C45" s="39" t="e">
        <f>N41-C44</f>
        <v>#NUM!</v>
      </c>
      <c r="D45" s="39" t="e">
        <f t="shared" ref="D45:N45" si="5">C45-D44</f>
        <v>#NUM!</v>
      </c>
      <c r="E45" s="39" t="e">
        <f t="shared" si="5"/>
        <v>#NUM!</v>
      </c>
      <c r="F45" s="39" t="e">
        <f t="shared" si="5"/>
        <v>#NUM!</v>
      </c>
      <c r="G45" s="39" t="e">
        <f t="shared" si="5"/>
        <v>#NUM!</v>
      </c>
      <c r="H45" s="39" t="e">
        <f t="shared" si="5"/>
        <v>#NUM!</v>
      </c>
      <c r="I45" s="39" t="e">
        <f t="shared" si="5"/>
        <v>#NUM!</v>
      </c>
      <c r="J45" s="39" t="e">
        <f t="shared" si="5"/>
        <v>#NUM!</v>
      </c>
      <c r="K45" s="39" t="e">
        <f t="shared" si="5"/>
        <v>#NUM!</v>
      </c>
      <c r="L45" s="39" t="e">
        <f t="shared" si="5"/>
        <v>#NUM!</v>
      </c>
      <c r="M45" s="39" t="e">
        <f t="shared" si="5"/>
        <v>#NUM!</v>
      </c>
      <c r="N45" s="39" t="e">
        <f t="shared" si="5"/>
        <v>#NUM!</v>
      </c>
      <c r="O45" s="35"/>
      <c r="P45" s="5"/>
      <c r="Q45" s="5"/>
    </row>
    <row r="46" spans="2:17" x14ac:dyDescent="0.15">
      <c r="B46" s="9"/>
      <c r="C46" s="9"/>
      <c r="D46" s="5"/>
      <c r="E46" s="5"/>
      <c r="F46" s="5"/>
      <c r="G46" s="5"/>
      <c r="H46" s="5"/>
      <c r="I46" s="5"/>
      <c r="J46" s="5"/>
      <c r="K46" s="5"/>
      <c r="L46" s="5"/>
      <c r="M46" s="5"/>
      <c r="N46" s="5"/>
      <c r="O46" s="5"/>
      <c r="P46" s="5"/>
      <c r="Q46" s="5"/>
    </row>
    <row r="47" spans="2:17" x14ac:dyDescent="0.15">
      <c r="B47" s="9"/>
      <c r="C47" s="9"/>
      <c r="D47" s="5"/>
      <c r="E47" s="5"/>
      <c r="F47" s="5"/>
      <c r="G47" s="5"/>
      <c r="H47" s="5"/>
      <c r="I47" s="5"/>
      <c r="J47" s="5"/>
      <c r="K47" s="5"/>
      <c r="L47" s="5"/>
      <c r="M47" s="5"/>
      <c r="N47" s="5"/>
      <c r="O47" s="5"/>
      <c r="P47" s="5"/>
      <c r="Q47" s="5"/>
    </row>
    <row r="48" spans="2:17" ht="13" thickBot="1" x14ac:dyDescent="0.2">
      <c r="B48" s="711" t="s">
        <v>133</v>
      </c>
      <c r="C48" s="711"/>
      <c r="D48" s="5"/>
      <c r="E48" s="5"/>
      <c r="F48" s="5"/>
      <c r="G48" s="5"/>
      <c r="H48" s="5"/>
      <c r="I48" s="5"/>
      <c r="J48" s="5"/>
      <c r="K48" s="5"/>
      <c r="L48" s="5"/>
      <c r="M48" s="5"/>
      <c r="N48" s="5"/>
      <c r="O48" s="5"/>
      <c r="P48" s="5"/>
      <c r="Q48" s="5"/>
    </row>
    <row r="49" spans="2:17" ht="13" thickTop="1" x14ac:dyDescent="0.15">
      <c r="B49" s="142" t="s">
        <v>152</v>
      </c>
      <c r="C49" s="364">
        <f>CCDebt</f>
        <v>0</v>
      </c>
      <c r="D49" s="5"/>
      <c r="E49" s="5"/>
      <c r="F49" s="5"/>
      <c r="G49" s="5"/>
      <c r="H49" s="5"/>
      <c r="I49" s="5"/>
      <c r="J49" s="5"/>
      <c r="K49" s="5"/>
      <c r="L49" s="5"/>
      <c r="M49" s="5"/>
      <c r="N49" s="5"/>
      <c r="O49" s="5"/>
      <c r="P49" s="5"/>
      <c r="Q49" s="5"/>
    </row>
    <row r="50" spans="2:17" x14ac:dyDescent="0.15">
      <c r="B50" s="24" t="s">
        <v>153</v>
      </c>
      <c r="C50" s="27">
        <f>'1-StartingPoint'!E39</f>
        <v>0</v>
      </c>
      <c r="D50" s="5"/>
      <c r="E50" s="5"/>
      <c r="F50" s="5"/>
      <c r="G50" s="5"/>
      <c r="H50" s="5"/>
      <c r="I50" s="5"/>
      <c r="J50" s="5"/>
      <c r="K50" s="5"/>
      <c r="L50" s="5"/>
      <c r="M50" s="5"/>
      <c r="N50" s="5"/>
      <c r="O50" s="5"/>
      <c r="P50" s="5"/>
      <c r="Q50" s="5"/>
    </row>
    <row r="51" spans="2:17" x14ac:dyDescent="0.15">
      <c r="B51" s="24" t="s">
        <v>154</v>
      </c>
      <c r="C51" s="25">
        <f>'1-StartingPoint'!F39</f>
        <v>0</v>
      </c>
      <c r="D51" s="5"/>
      <c r="E51" s="5"/>
      <c r="F51" s="5"/>
      <c r="G51" s="5"/>
      <c r="H51" s="5"/>
      <c r="I51" s="5"/>
      <c r="J51" s="5"/>
      <c r="K51" s="5"/>
      <c r="L51" s="5"/>
      <c r="M51" s="5"/>
      <c r="N51" s="5"/>
      <c r="O51" s="5"/>
      <c r="P51" s="5"/>
      <c r="Q51" s="5"/>
    </row>
    <row r="52" spans="2:17" x14ac:dyDescent="0.15">
      <c r="B52" s="24" t="s">
        <v>155</v>
      </c>
      <c r="C52" s="26" t="e">
        <f>ABS(PMT(C50/12,C51,C49))</f>
        <v>#NUM!</v>
      </c>
      <c r="D52" s="5"/>
      <c r="E52" s="5"/>
      <c r="F52" s="5"/>
      <c r="G52" s="5"/>
      <c r="H52" s="5"/>
      <c r="I52" s="5"/>
      <c r="J52" s="5"/>
      <c r="K52" s="5"/>
      <c r="L52" s="5"/>
      <c r="M52" s="5"/>
      <c r="N52" s="5"/>
      <c r="O52" s="5"/>
      <c r="P52" s="5"/>
      <c r="Q52" s="5"/>
    </row>
    <row r="53" spans="2:17" x14ac:dyDescent="0.15">
      <c r="B53" s="24"/>
      <c r="C53" s="40" t="str">
        <f>SalesForecastYear1!$C$23</f>
        <v xml:space="preserve"> Aug</v>
      </c>
      <c r="D53" s="40" t="str">
        <f>SalesForecastYear1!$D$23</f>
        <v>Sep</v>
      </c>
      <c r="E53" s="40" t="str">
        <f>SalesForecastYear1!$E$23</f>
        <v>Oct</v>
      </c>
      <c r="F53" s="40" t="str">
        <f>SalesForecastYear1!$F$23</f>
        <v>Nov</v>
      </c>
      <c r="G53" s="40" t="str">
        <f>SalesForecastYear1!$G$23</f>
        <v>Dec</v>
      </c>
      <c r="H53" s="40" t="str">
        <f>SalesForecastYear1!$H$23</f>
        <v>Jan</v>
      </c>
      <c r="I53" s="40" t="str">
        <f>SalesForecastYear1!$I$23</f>
        <v>Feb</v>
      </c>
      <c r="J53" s="40" t="str">
        <f>SalesForecastYear1!$J$23</f>
        <v>Mar</v>
      </c>
      <c r="K53" s="40" t="str">
        <f>SalesForecastYear1!$K$23</f>
        <v>Apr</v>
      </c>
      <c r="L53" s="40" t="str">
        <f>SalesForecastYear1!$L$23</f>
        <v>May</v>
      </c>
      <c r="M53" s="40" t="str">
        <f>SalesForecastYear1!$M$23</f>
        <v>Jun</v>
      </c>
      <c r="N53" s="40" t="str">
        <f>SalesForecastYear1!$N$23</f>
        <v>Jul</v>
      </c>
      <c r="O53" s="40" t="s">
        <v>8</v>
      </c>
      <c r="P53" s="5"/>
      <c r="Q53" s="5"/>
    </row>
    <row r="54" spans="2:17" x14ac:dyDescent="0.15">
      <c r="B54" s="24" t="s">
        <v>156</v>
      </c>
      <c r="C54" s="7"/>
      <c r="D54" s="7"/>
      <c r="E54" s="7"/>
      <c r="F54" s="7"/>
      <c r="G54" s="7"/>
      <c r="H54" s="7"/>
      <c r="I54" s="7"/>
      <c r="J54" s="7"/>
      <c r="K54" s="7"/>
      <c r="L54" s="7"/>
      <c r="M54" s="7"/>
      <c r="N54" s="7"/>
      <c r="O54" s="7"/>
      <c r="P54" s="5"/>
      <c r="Q54" s="5"/>
    </row>
    <row r="55" spans="2:17" x14ac:dyDescent="0.15">
      <c r="B55" s="41" t="s">
        <v>58</v>
      </c>
      <c r="C55" s="38" t="e">
        <f>ABS(IPMT($C$50/12,1,$C$51,$C$49))</f>
        <v>#NUM!</v>
      </c>
      <c r="D55" s="38" t="e">
        <f>ABS(IPMT($C$50/12,2,$C$51,$C$49))</f>
        <v>#NUM!</v>
      </c>
      <c r="E55" s="38" t="e">
        <f>ABS(IPMT($C$50/12,3,$C$51,$C$49))</f>
        <v>#NUM!</v>
      </c>
      <c r="F55" s="38" t="e">
        <f>ABS(IPMT($C$50/12,4,$C$51,$C$49))</f>
        <v>#NUM!</v>
      </c>
      <c r="G55" s="38" t="e">
        <f>ABS(IPMT($C$50/12,5,$C$51,$C$49))</f>
        <v>#NUM!</v>
      </c>
      <c r="H55" s="38" t="e">
        <f>ABS(IPMT($C$50/12,6,$C$51,$C$49))</f>
        <v>#NUM!</v>
      </c>
      <c r="I55" s="38" t="e">
        <f>ABS(IPMT($C$50/12,7,$C$51,$C$49))</f>
        <v>#NUM!</v>
      </c>
      <c r="J55" s="38" t="e">
        <f>ABS(IPMT($C$50/12,8,$C$51,$C$49))</f>
        <v>#NUM!</v>
      </c>
      <c r="K55" s="38" t="e">
        <f>ABS(IPMT($C$50/12,9,$C$51,$C$49))</f>
        <v>#NUM!</v>
      </c>
      <c r="L55" s="38" t="e">
        <f>ABS(IPMT($C$50/12,10,$C$51,$C$49))</f>
        <v>#NUM!</v>
      </c>
      <c r="M55" s="38" t="e">
        <f>ABS(IPMT($C$50/12,11,$C$51,$C$49))</f>
        <v>#NUM!</v>
      </c>
      <c r="N55" s="38" t="e">
        <f>ABS(IPMT($C$50/12,12,$C$51,$C$49))</f>
        <v>#NUM!</v>
      </c>
      <c r="O55" s="298" t="e">
        <f>SUM(C55:N55)</f>
        <v>#NUM!</v>
      </c>
      <c r="P55" s="5"/>
      <c r="Q55" s="5"/>
    </row>
    <row r="56" spans="2:17" x14ac:dyDescent="0.15">
      <c r="B56" s="41" t="s">
        <v>157</v>
      </c>
      <c r="C56" s="38" t="e">
        <f>ABS(PPMT($C$50/12,1,$C$51,$C$49))</f>
        <v>#NUM!</v>
      </c>
      <c r="D56" s="38" t="e">
        <f>ABS(PPMT($C$50/12,2,$C$51,$C$49))</f>
        <v>#NUM!</v>
      </c>
      <c r="E56" s="38" t="e">
        <f>ABS(PPMT($C$50/12,3,$C$51,$C$49))</f>
        <v>#NUM!</v>
      </c>
      <c r="F56" s="38" t="e">
        <f>ABS(PPMT($C$50/12,4,$C$51,$C$49))</f>
        <v>#NUM!</v>
      </c>
      <c r="G56" s="38" t="e">
        <f>ABS(PPMT($C$50/12,5,$C$51,$C$49))</f>
        <v>#NUM!</v>
      </c>
      <c r="H56" s="38" t="e">
        <f>ABS(PPMT($C$50/12,6,$C$51,$C$49))</f>
        <v>#NUM!</v>
      </c>
      <c r="I56" s="38" t="e">
        <f>ABS(PPMT($C$50/12,7,$C$51,$C$49))</f>
        <v>#NUM!</v>
      </c>
      <c r="J56" s="38" t="e">
        <f>ABS(PPMT($C$50/12,8,$C$51,$C$49))</f>
        <v>#NUM!</v>
      </c>
      <c r="K56" s="38" t="e">
        <f>ABS(PPMT($C$50/12,9,$C$51,$C$49))</f>
        <v>#NUM!</v>
      </c>
      <c r="L56" s="38" t="e">
        <f>ABS(PPMT($C$50/12,10,$C$51,$C$49))</f>
        <v>#NUM!</v>
      </c>
      <c r="M56" s="38" t="e">
        <f>ABS(PPMT($C$50/12,11,$C$51,$C$49))</f>
        <v>#NUM!</v>
      </c>
      <c r="N56" s="38" t="e">
        <f>ABS(PPMT($C$50/12,12,$C$51,$C$49))</f>
        <v>#NUM!</v>
      </c>
      <c r="O56" s="298" t="e">
        <f>SUM(C56:N56)</f>
        <v>#NUM!</v>
      </c>
      <c r="P56" s="5"/>
      <c r="Q56" s="5"/>
    </row>
    <row r="57" spans="2:17" x14ac:dyDescent="0.15">
      <c r="B57" s="41" t="s">
        <v>158</v>
      </c>
      <c r="C57" s="39" t="e">
        <f>$C$49-C56</f>
        <v>#NUM!</v>
      </c>
      <c r="D57" s="39" t="e">
        <f t="shared" ref="D57:N57" si="6">C57-D56</f>
        <v>#NUM!</v>
      </c>
      <c r="E57" s="39" t="e">
        <f t="shared" si="6"/>
        <v>#NUM!</v>
      </c>
      <c r="F57" s="39" t="e">
        <f t="shared" si="6"/>
        <v>#NUM!</v>
      </c>
      <c r="G57" s="39" t="e">
        <f t="shared" si="6"/>
        <v>#NUM!</v>
      </c>
      <c r="H57" s="39" t="e">
        <f t="shared" si="6"/>
        <v>#NUM!</v>
      </c>
      <c r="I57" s="39" t="e">
        <f t="shared" si="6"/>
        <v>#NUM!</v>
      </c>
      <c r="J57" s="39" t="e">
        <f t="shared" si="6"/>
        <v>#NUM!</v>
      </c>
      <c r="K57" s="39" t="e">
        <f t="shared" si="6"/>
        <v>#NUM!</v>
      </c>
      <c r="L57" s="39" t="e">
        <f t="shared" si="6"/>
        <v>#NUM!</v>
      </c>
      <c r="M57" s="39" t="e">
        <f t="shared" si="6"/>
        <v>#NUM!</v>
      </c>
      <c r="N57" s="39" t="e">
        <f t="shared" si="6"/>
        <v>#NUM!</v>
      </c>
      <c r="O57" s="35"/>
      <c r="P57" s="5"/>
      <c r="Q57" s="5"/>
    </row>
    <row r="58" spans="2:17" x14ac:dyDescent="0.15">
      <c r="B58" s="24" t="s">
        <v>159</v>
      </c>
      <c r="C58" s="36"/>
      <c r="D58" s="36"/>
      <c r="E58" s="36"/>
      <c r="F58" s="36"/>
      <c r="G58" s="36"/>
      <c r="H58" s="36"/>
      <c r="I58" s="36"/>
      <c r="J58" s="36"/>
      <c r="K58" s="36"/>
      <c r="L58" s="36"/>
      <c r="M58" s="36"/>
      <c r="N58" s="36"/>
      <c r="O58" s="36"/>
      <c r="P58" s="5"/>
      <c r="Q58" s="5"/>
    </row>
    <row r="59" spans="2:17" x14ac:dyDescent="0.15">
      <c r="B59" s="41" t="s">
        <v>58</v>
      </c>
      <c r="C59" s="38">
        <f>IF($C$51&lt;13,0,ABS(IPMT($C$50/12,13,$C$51,$C$49)))</f>
        <v>0</v>
      </c>
      <c r="D59" s="38">
        <f>IF($C$51&lt;14,0,ABS(IPMT($C$50/12,14,$C$51,$C$49)))</f>
        <v>0</v>
      </c>
      <c r="E59" s="38">
        <f>IF($C$51&lt;15,0,ABS(IPMT($C$50/12,15,$C$51,$C$49)))</f>
        <v>0</v>
      </c>
      <c r="F59" s="38">
        <f>IF($C$51&lt;16,0,ABS(IPMT($C$50/12,16,$C$51,$C$49)))</f>
        <v>0</v>
      </c>
      <c r="G59" s="38">
        <f>IF($C$51&lt;17,0,ABS(IPMT($C$50/12,17,$C$51,$C$49)))</f>
        <v>0</v>
      </c>
      <c r="H59" s="38">
        <f>IF($C$51&lt;18,0,ABS(IPMT($C$50/12,18,$C$51,$C$49)))</f>
        <v>0</v>
      </c>
      <c r="I59" s="38">
        <f>IF($C$51&lt;19,0,ABS(IPMT($C$50/12,19,$C$51,$C$49)))</f>
        <v>0</v>
      </c>
      <c r="J59" s="38">
        <f>IF($C$51&lt;20,0,ABS(IPMT($C$50/12,20,$C$51,$C$49)))</f>
        <v>0</v>
      </c>
      <c r="K59" s="38">
        <f>IF($C$51&lt;21,0,ABS(IPMT($C$50/12,21,$C$51,$C$49)))</f>
        <v>0</v>
      </c>
      <c r="L59" s="38">
        <f>IF($C$51&lt;22,0,ABS(IPMT($C$50/12,22,$C$51,$C$49)))</f>
        <v>0</v>
      </c>
      <c r="M59" s="38">
        <f>IF($C$51&lt;23,0,ABS(IPMT($C$50/23,11,$C$51,$C$49)))</f>
        <v>0</v>
      </c>
      <c r="N59" s="38">
        <f>IF($C$51&lt;24,0,ABS(IPMT($C$50/12,24,$C$51,$C$49)))</f>
        <v>0</v>
      </c>
      <c r="O59" s="298">
        <f>SUM(C59:N59)</f>
        <v>0</v>
      </c>
      <c r="P59" s="5"/>
      <c r="Q59" s="5"/>
    </row>
    <row r="60" spans="2:17" x14ac:dyDescent="0.15">
      <c r="B60" s="41" t="s">
        <v>157</v>
      </c>
      <c r="C60" s="38">
        <f>IF($C$51&lt;13,0,ABS(PPMT($C$50/12,13,$C$51,$C$49)))</f>
        <v>0</v>
      </c>
      <c r="D60" s="38">
        <f>IF($C$51&lt;14,0,ABS(PPMT($C$50/12,14,$C$51,$C$49)))</f>
        <v>0</v>
      </c>
      <c r="E60" s="38">
        <f>IF($C$51&lt;15,0,ABS(PPMT($C$50/12,15,$C$51,$C$49)))</f>
        <v>0</v>
      </c>
      <c r="F60" s="38">
        <f>IF($C$51&lt;16,0,ABS(PPMT($C$50/12,16,$C$51,$C$49)))</f>
        <v>0</v>
      </c>
      <c r="G60" s="38">
        <f>IF($C$51&lt;17,0,ABS(PPMT($C$50/12,17,$C$51,$C$49)))</f>
        <v>0</v>
      </c>
      <c r="H60" s="38">
        <f>IF($C$51&lt;18,0,ABS(PPMT($C$50/12,18,$C$51,$C$49)))</f>
        <v>0</v>
      </c>
      <c r="I60" s="38">
        <f>IF($C$51&lt;19,0,ABS(PPMT($C$50/12,19,$C$51,$C$49)))</f>
        <v>0</v>
      </c>
      <c r="J60" s="38">
        <f>IF($C$51&lt;20,0,ABS(PPMT($C$50/12,20,$C$51,$C$49)))</f>
        <v>0</v>
      </c>
      <c r="K60" s="38">
        <f>IF($C$51&lt;21,0,ABS(PPMT($C$50/12,21,$C$51,$C$49)))</f>
        <v>0</v>
      </c>
      <c r="L60" s="38">
        <f>IF($C$51&lt;22,0,ABS(PPMT($C$50/12,22,$C$51,$C$49)))</f>
        <v>0</v>
      </c>
      <c r="M60" s="38">
        <f>IF($C$51&lt;23,0,ABS(PPMT($C$50/12,23,$C$51,$C$49)))</f>
        <v>0</v>
      </c>
      <c r="N60" s="38">
        <f>IF($C$51&lt;24,0,ABS(PPMT($C$50/12,24,$C$51,$C$49)))</f>
        <v>0</v>
      </c>
      <c r="O60" s="298">
        <f>SUM(C60:N60)</f>
        <v>0</v>
      </c>
      <c r="P60" s="5"/>
      <c r="Q60" s="5"/>
    </row>
    <row r="61" spans="2:17" x14ac:dyDescent="0.15">
      <c r="B61" s="41" t="s">
        <v>158</v>
      </c>
      <c r="C61" s="39" t="e">
        <f>N57-C60</f>
        <v>#NUM!</v>
      </c>
      <c r="D61" s="39" t="e">
        <f t="shared" ref="D61:N61" si="7">C61-D60</f>
        <v>#NUM!</v>
      </c>
      <c r="E61" s="39" t="e">
        <f t="shared" si="7"/>
        <v>#NUM!</v>
      </c>
      <c r="F61" s="39" t="e">
        <f t="shared" si="7"/>
        <v>#NUM!</v>
      </c>
      <c r="G61" s="39" t="e">
        <f t="shared" si="7"/>
        <v>#NUM!</v>
      </c>
      <c r="H61" s="39" t="e">
        <f t="shared" si="7"/>
        <v>#NUM!</v>
      </c>
      <c r="I61" s="39" t="e">
        <f t="shared" si="7"/>
        <v>#NUM!</v>
      </c>
      <c r="J61" s="39" t="e">
        <f t="shared" si="7"/>
        <v>#NUM!</v>
      </c>
      <c r="K61" s="39" t="e">
        <f t="shared" si="7"/>
        <v>#NUM!</v>
      </c>
      <c r="L61" s="39" t="e">
        <f t="shared" si="7"/>
        <v>#NUM!</v>
      </c>
      <c r="M61" s="39" t="e">
        <f t="shared" si="7"/>
        <v>#NUM!</v>
      </c>
      <c r="N61" s="39" t="e">
        <f t="shared" si="7"/>
        <v>#NUM!</v>
      </c>
      <c r="O61" s="35"/>
      <c r="P61" s="5"/>
      <c r="Q61" s="5"/>
    </row>
    <row r="62" spans="2:17" x14ac:dyDescent="0.15">
      <c r="B62" s="24" t="s">
        <v>160</v>
      </c>
      <c r="C62" s="36"/>
      <c r="D62" s="36"/>
      <c r="E62" s="36"/>
      <c r="F62" s="36"/>
      <c r="G62" s="36"/>
      <c r="H62" s="36"/>
      <c r="I62" s="36"/>
      <c r="J62" s="36"/>
      <c r="K62" s="36"/>
      <c r="L62" s="36"/>
      <c r="M62" s="36"/>
      <c r="N62" s="36"/>
      <c r="O62" s="36"/>
      <c r="P62" s="5"/>
      <c r="Q62" s="5"/>
    </row>
    <row r="63" spans="2:17" x14ac:dyDescent="0.15">
      <c r="B63" s="41" t="s">
        <v>58</v>
      </c>
      <c r="C63" s="38">
        <f>IF($C$51&lt;25,0,ABS(IPMT($C$50/12,25,$C$51,$C$49)))</f>
        <v>0</v>
      </c>
      <c r="D63" s="38">
        <f>IF($C$51&lt;26,0,ABS(IPMT($C$50/12,26,$C$51,$C$49)))</f>
        <v>0</v>
      </c>
      <c r="E63" s="38">
        <f>IF($C$51&lt;27,0,ABS(IPMT($C$50/12,27,$C$51,$C$49)))</f>
        <v>0</v>
      </c>
      <c r="F63" s="38">
        <f>IF($C$51&lt;28,0,ABS(IPMT($C$50/12,28,$C$51,$C$49)))</f>
        <v>0</v>
      </c>
      <c r="G63" s="38">
        <f>IF($C$51&lt;29,0,ABS(IPMT($C$50/12,29,$C$51,$C$49)))</f>
        <v>0</v>
      </c>
      <c r="H63" s="38">
        <f>IF($C$51&lt;30,0,ABS(IPMT($C$50/12,30,$C$51,$C$49)))</f>
        <v>0</v>
      </c>
      <c r="I63" s="38">
        <f>IF($C$51&lt;31,0,ABS(IPMT($C$50/12,31,$C$51,$C$49)))</f>
        <v>0</v>
      </c>
      <c r="J63" s="38">
        <f>IF($C$51&lt;32,0,ABS(IPMT($C$50/12,32,$C$51,$C$49)))</f>
        <v>0</v>
      </c>
      <c r="K63" s="38">
        <f>IF($C$51&lt;33,0,ABS(IPMT($C$50/12,33,$C$51,$C$49)))</f>
        <v>0</v>
      </c>
      <c r="L63" s="38">
        <f>IF($C$51&lt;34,0,ABS(IPMT($C$50/12,34,$C$51,$C$49)))</f>
        <v>0</v>
      </c>
      <c r="M63" s="38">
        <f>IF($C$51&lt;35,0,ABS(IPMT($C$50/12,35,$C$51,$C$49)))</f>
        <v>0</v>
      </c>
      <c r="N63" s="38">
        <f>IF($C$51&lt;36,0,ABS(IPMT($C$50/12,36,$C$51,$C$49)))</f>
        <v>0</v>
      </c>
      <c r="O63" s="298">
        <f>SUM(C63:N63)</f>
        <v>0</v>
      </c>
      <c r="P63" s="5"/>
      <c r="Q63" s="5"/>
    </row>
    <row r="64" spans="2:17" x14ac:dyDescent="0.15">
      <c r="B64" s="41" t="s">
        <v>157</v>
      </c>
      <c r="C64" s="38">
        <f>IF($C$51&lt;25,0,ABS(PPMT($C$50/12,25,$C$51,$C$49)))</f>
        <v>0</v>
      </c>
      <c r="D64" s="38">
        <f>IF($C$51&lt;26,0,ABS(PPMT($C$50/12,26,$C$51,$C$49)))</f>
        <v>0</v>
      </c>
      <c r="E64" s="38">
        <f>IF($C$51&lt;27,0,ABS(PPMT($C$50/12,27,$C$51,$C$49)))</f>
        <v>0</v>
      </c>
      <c r="F64" s="38">
        <f>IF($C$51&lt;28,0,ABS(PPMT($C$50/12,28,$C$51,$C$49)))</f>
        <v>0</v>
      </c>
      <c r="G64" s="38">
        <f>IF($C$51&lt;29,0,ABS(PPMT($C$50/12,29,$C$51,$C$49)))</f>
        <v>0</v>
      </c>
      <c r="H64" s="38">
        <f>IF($C$51&lt;30,0,ABS(PPMT($C$50/12,30,$C$51,$C$49)))</f>
        <v>0</v>
      </c>
      <c r="I64" s="38">
        <f>IF($C$51&lt;31,0,ABS(PPMT($C$50/12,31,$C$51,$C$49)))</f>
        <v>0</v>
      </c>
      <c r="J64" s="38">
        <f>IF($C$51&lt;32,0,ABS(PPMT($C$50/12,32,$C$51,$C$49)))</f>
        <v>0</v>
      </c>
      <c r="K64" s="38">
        <f>IF($C$51&lt;33,0,ABS(PPMT($C$50/12,33,$C$51,$C$49)))</f>
        <v>0</v>
      </c>
      <c r="L64" s="38">
        <f>IF($C$51&lt;34,0,ABS(PPMT($C$50/12,34,$C$51,$C$49)))</f>
        <v>0</v>
      </c>
      <c r="M64" s="38">
        <f>IF($C$51&lt;35,0,ABS(PPMT($C$50/12,35,$C$51,$C$49)))</f>
        <v>0</v>
      </c>
      <c r="N64" s="38">
        <f>IF($C$51&lt;36,0,ABS(PPMT($C$50/12,36,$C$51,$C$49)))</f>
        <v>0</v>
      </c>
      <c r="O64" s="298">
        <f>SUM(C64:N64)</f>
        <v>0</v>
      </c>
      <c r="P64" s="5"/>
      <c r="Q64" s="5"/>
    </row>
    <row r="65" spans="2:17" x14ac:dyDescent="0.15">
      <c r="B65" s="41" t="s">
        <v>158</v>
      </c>
      <c r="C65" s="39" t="e">
        <f>N61-C64</f>
        <v>#NUM!</v>
      </c>
      <c r="D65" s="39" t="e">
        <f t="shared" ref="D65:N65" si="8">C65-D64</f>
        <v>#NUM!</v>
      </c>
      <c r="E65" s="39" t="e">
        <f t="shared" si="8"/>
        <v>#NUM!</v>
      </c>
      <c r="F65" s="39" t="e">
        <f t="shared" si="8"/>
        <v>#NUM!</v>
      </c>
      <c r="G65" s="39" t="e">
        <f t="shared" si="8"/>
        <v>#NUM!</v>
      </c>
      <c r="H65" s="39" t="e">
        <f t="shared" si="8"/>
        <v>#NUM!</v>
      </c>
      <c r="I65" s="39" t="e">
        <f t="shared" si="8"/>
        <v>#NUM!</v>
      </c>
      <c r="J65" s="39" t="e">
        <f t="shared" si="8"/>
        <v>#NUM!</v>
      </c>
      <c r="K65" s="39" t="e">
        <f t="shared" si="8"/>
        <v>#NUM!</v>
      </c>
      <c r="L65" s="39" t="e">
        <f t="shared" si="8"/>
        <v>#NUM!</v>
      </c>
      <c r="M65" s="39" t="e">
        <f t="shared" si="8"/>
        <v>#NUM!</v>
      </c>
      <c r="N65" s="39" t="e">
        <f t="shared" si="8"/>
        <v>#NUM!</v>
      </c>
      <c r="O65" s="35"/>
      <c r="P65" s="5"/>
      <c r="Q65" s="5"/>
    </row>
    <row r="66" spans="2:17" x14ac:dyDescent="0.15">
      <c r="B66" s="9"/>
      <c r="C66" s="9"/>
      <c r="D66" s="5"/>
      <c r="E66" s="5"/>
      <c r="F66" s="5"/>
      <c r="G66" s="5"/>
      <c r="H66" s="5"/>
      <c r="I66" s="5"/>
      <c r="J66" s="5"/>
      <c r="K66" s="5"/>
      <c r="L66" s="5"/>
      <c r="M66" s="5"/>
      <c r="N66" s="5"/>
      <c r="O66" s="5"/>
      <c r="P66" s="5"/>
      <c r="Q66" s="5"/>
    </row>
    <row r="67" spans="2:17" x14ac:dyDescent="0.15">
      <c r="B67" s="9"/>
      <c r="C67" s="9"/>
      <c r="D67" s="5"/>
      <c r="E67" s="5"/>
      <c r="F67" s="5"/>
      <c r="G67" s="5"/>
      <c r="H67" s="5"/>
      <c r="I67" s="5"/>
      <c r="J67" s="5"/>
      <c r="K67" s="5"/>
      <c r="L67" s="5"/>
      <c r="M67" s="5"/>
      <c r="N67" s="5"/>
      <c r="O67" s="5"/>
      <c r="P67" s="5"/>
      <c r="Q67" s="5"/>
    </row>
    <row r="68" spans="2:17" ht="13" thickBot="1" x14ac:dyDescent="0.2">
      <c r="B68" s="711" t="s">
        <v>134</v>
      </c>
      <c r="C68" s="711"/>
      <c r="D68" s="5"/>
      <c r="E68" s="5"/>
      <c r="F68" s="5"/>
      <c r="G68" s="5"/>
      <c r="H68" s="5"/>
      <c r="I68" s="5"/>
      <c r="J68" s="5"/>
      <c r="K68" s="5"/>
      <c r="L68" s="5"/>
      <c r="M68" s="5"/>
      <c r="N68" s="5"/>
      <c r="O68" s="5"/>
      <c r="P68" s="5"/>
      <c r="Q68" s="5"/>
    </row>
    <row r="69" spans="2:17" ht="13" thickTop="1" x14ac:dyDescent="0.15">
      <c r="B69" s="142" t="s">
        <v>152</v>
      </c>
      <c r="C69" s="364">
        <f>VehicleLoan</f>
        <v>0</v>
      </c>
      <c r="D69" s="5"/>
      <c r="E69" s="5"/>
      <c r="F69" s="5"/>
      <c r="G69" s="5"/>
      <c r="H69" s="5"/>
      <c r="I69" s="5"/>
      <c r="J69" s="5"/>
      <c r="K69" s="5"/>
      <c r="L69" s="5"/>
      <c r="M69" s="5"/>
      <c r="N69" s="5"/>
      <c r="O69" s="5"/>
      <c r="P69" s="5"/>
      <c r="Q69" s="5"/>
    </row>
    <row r="70" spans="2:17" x14ac:dyDescent="0.15">
      <c r="B70" s="24" t="s">
        <v>153</v>
      </c>
      <c r="C70" s="27">
        <f>'1-StartingPoint'!E40</f>
        <v>0</v>
      </c>
      <c r="D70" s="5"/>
      <c r="E70" s="5"/>
      <c r="F70" s="5"/>
      <c r="G70" s="5"/>
      <c r="H70" s="5"/>
      <c r="I70" s="5"/>
      <c r="J70" s="5"/>
      <c r="K70" s="5"/>
      <c r="L70" s="5"/>
      <c r="M70" s="5"/>
      <c r="N70" s="5"/>
      <c r="O70" s="5"/>
      <c r="P70" s="5"/>
      <c r="Q70" s="5"/>
    </row>
    <row r="71" spans="2:17" x14ac:dyDescent="0.15">
      <c r="B71" s="24" t="s">
        <v>154</v>
      </c>
      <c r="C71" s="25">
        <f>'1-StartingPoint'!F40</f>
        <v>0</v>
      </c>
      <c r="D71" s="5"/>
      <c r="E71" s="5"/>
      <c r="F71" s="5"/>
      <c r="G71" s="5"/>
      <c r="H71" s="5"/>
      <c r="I71" s="5"/>
      <c r="J71" s="5"/>
      <c r="K71" s="5"/>
      <c r="L71" s="5"/>
      <c r="M71" s="5"/>
      <c r="N71" s="5"/>
      <c r="O71" s="5"/>
      <c r="P71" s="5"/>
      <c r="Q71" s="5"/>
    </row>
    <row r="72" spans="2:17" x14ac:dyDescent="0.15">
      <c r="B72" s="24" t="s">
        <v>155</v>
      </c>
      <c r="C72" s="26" t="e">
        <f>ABS(PMT(C70/12,C71,C69))</f>
        <v>#NUM!</v>
      </c>
      <c r="D72" s="5"/>
      <c r="E72" s="5"/>
      <c r="F72" s="5"/>
      <c r="G72" s="5"/>
      <c r="H72" s="5"/>
      <c r="I72" s="5"/>
      <c r="J72" s="5"/>
      <c r="K72" s="5"/>
      <c r="L72" s="5"/>
      <c r="M72" s="5"/>
      <c r="N72" s="5"/>
      <c r="O72" s="5"/>
      <c r="P72" s="5"/>
      <c r="Q72" s="5"/>
    </row>
    <row r="73" spans="2:17" x14ac:dyDescent="0.15">
      <c r="B73" s="24"/>
      <c r="C73" s="40" t="str">
        <f>SalesForecastYear1!$C$23</f>
        <v xml:space="preserve"> Aug</v>
      </c>
      <c r="D73" s="40" t="str">
        <f>SalesForecastYear1!$D$23</f>
        <v>Sep</v>
      </c>
      <c r="E73" s="40" t="str">
        <f>SalesForecastYear1!$E$23</f>
        <v>Oct</v>
      </c>
      <c r="F73" s="40" t="str">
        <f>SalesForecastYear1!$F$23</f>
        <v>Nov</v>
      </c>
      <c r="G73" s="40" t="str">
        <f>SalesForecastYear1!$G$23</f>
        <v>Dec</v>
      </c>
      <c r="H73" s="40" t="str">
        <f>SalesForecastYear1!$H$23</f>
        <v>Jan</v>
      </c>
      <c r="I73" s="40" t="str">
        <f>SalesForecastYear1!$I$23</f>
        <v>Feb</v>
      </c>
      <c r="J73" s="40" t="str">
        <f>SalesForecastYear1!$J$23</f>
        <v>Mar</v>
      </c>
      <c r="K73" s="40" t="str">
        <f>SalesForecastYear1!$K$23</f>
        <v>Apr</v>
      </c>
      <c r="L73" s="40" t="str">
        <f>SalesForecastYear1!$L$23</f>
        <v>May</v>
      </c>
      <c r="M73" s="40" t="str">
        <f>SalesForecastYear1!$M$23</f>
        <v>Jun</v>
      </c>
      <c r="N73" s="40" t="str">
        <f>SalesForecastYear1!$N$23</f>
        <v>Jul</v>
      </c>
      <c r="O73" s="40" t="s">
        <v>8</v>
      </c>
      <c r="P73" s="5"/>
      <c r="Q73" s="5"/>
    </row>
    <row r="74" spans="2:17" x14ac:dyDescent="0.15">
      <c r="B74" s="24" t="s">
        <v>156</v>
      </c>
      <c r="C74" s="7"/>
      <c r="D74" s="7"/>
      <c r="E74" s="7"/>
      <c r="F74" s="7"/>
      <c r="G74" s="7"/>
      <c r="H74" s="7"/>
      <c r="I74" s="7"/>
      <c r="J74" s="7"/>
      <c r="K74" s="7"/>
      <c r="L74" s="7"/>
      <c r="M74" s="7"/>
      <c r="N74" s="7"/>
      <c r="O74" s="7"/>
      <c r="P74" s="5"/>
      <c r="Q74" s="5"/>
    </row>
    <row r="75" spans="2:17" x14ac:dyDescent="0.15">
      <c r="B75" s="42" t="s">
        <v>58</v>
      </c>
      <c r="C75" s="38" t="e">
        <f>ABS(IPMT($C$70/12,1,$C$71,$C$69))</f>
        <v>#NUM!</v>
      </c>
      <c r="D75" s="38" t="e">
        <f>ABS(IPMT($C$70/12,2,$C$71,$C$69))</f>
        <v>#NUM!</v>
      </c>
      <c r="E75" s="38" t="e">
        <f>ABS(IPMT($C$70/12,3,$C$71,$C$69))</f>
        <v>#NUM!</v>
      </c>
      <c r="F75" s="38" t="e">
        <f>ABS(IPMT($C$70/12,4,$C$71,$C$69))</f>
        <v>#NUM!</v>
      </c>
      <c r="G75" s="38" t="e">
        <f>ABS(IPMT($C$70/12,5,$C$71,$C$69))</f>
        <v>#NUM!</v>
      </c>
      <c r="H75" s="38" t="e">
        <f>ABS(IPMT($C$70/12,6,$C$71,$C$69))</f>
        <v>#NUM!</v>
      </c>
      <c r="I75" s="38" t="e">
        <f>ABS(IPMT($C$70/12,7,$C$71,$C$69))</f>
        <v>#NUM!</v>
      </c>
      <c r="J75" s="38" t="e">
        <f>ABS(IPMT($C$70/12,8,$C$71,$C$69))</f>
        <v>#NUM!</v>
      </c>
      <c r="K75" s="38" t="e">
        <f>ABS(IPMT($C$70/12,9,$C$71,$C$69))</f>
        <v>#NUM!</v>
      </c>
      <c r="L75" s="38" t="e">
        <f>ABS(IPMT($C$70/12,10,$C$71,$C$69))</f>
        <v>#NUM!</v>
      </c>
      <c r="M75" s="38" t="e">
        <f>ABS(IPMT($C$70/12,11,$C$71,$C$69))</f>
        <v>#NUM!</v>
      </c>
      <c r="N75" s="38" t="e">
        <f>ABS(IPMT($C$70/12,12,$C$71,$C$69))</f>
        <v>#NUM!</v>
      </c>
      <c r="O75" s="298" t="e">
        <f>SUM(C75:N75)</f>
        <v>#NUM!</v>
      </c>
      <c r="P75" s="5"/>
      <c r="Q75" s="5"/>
    </row>
    <row r="76" spans="2:17" x14ac:dyDescent="0.15">
      <c r="B76" s="42" t="s">
        <v>157</v>
      </c>
      <c r="C76" s="38" t="e">
        <f>ABS(PPMT($C$70/12,1,$C$71,$C$69))</f>
        <v>#NUM!</v>
      </c>
      <c r="D76" s="38" t="e">
        <f>ABS(PPMT($C$70/12,2,$C$71,$C$69))</f>
        <v>#NUM!</v>
      </c>
      <c r="E76" s="38" t="e">
        <f>ABS(PPMT($C$70/12,3,$C$71,$C$69))</f>
        <v>#NUM!</v>
      </c>
      <c r="F76" s="38" t="e">
        <f>ABS(PPMT($C$70/12,4,$C$71,$C$69))</f>
        <v>#NUM!</v>
      </c>
      <c r="G76" s="38" t="e">
        <f>ABS(PPMT($C$70/12,5,$C$71,$C$69))</f>
        <v>#NUM!</v>
      </c>
      <c r="H76" s="38" t="e">
        <f>ABS(PPMT($C$70/12,6,$C$71,$C$69))</f>
        <v>#NUM!</v>
      </c>
      <c r="I76" s="38" t="e">
        <f>ABS(PPMT($C$70/12,7,$C$71,$C$69))</f>
        <v>#NUM!</v>
      </c>
      <c r="J76" s="38" t="e">
        <f>ABS(PPMT($C$70/12,8,$C$71,$C$69))</f>
        <v>#NUM!</v>
      </c>
      <c r="K76" s="38" t="e">
        <f>ABS(PPMT($C$70/12,9,$C$71,$C$69))</f>
        <v>#NUM!</v>
      </c>
      <c r="L76" s="38" t="e">
        <f>ABS(PPMT($C$70/12,10,$C$71,$C$69))</f>
        <v>#NUM!</v>
      </c>
      <c r="M76" s="38" t="e">
        <f>ABS(PPMT($C$70/12,11,$C$71,$C$69))</f>
        <v>#NUM!</v>
      </c>
      <c r="N76" s="38" t="e">
        <f>ABS(PPMT($C$70/12,12,$C$71,$C$69))</f>
        <v>#NUM!</v>
      </c>
      <c r="O76" s="298" t="e">
        <f>SUM(C76:N76)</f>
        <v>#NUM!</v>
      </c>
      <c r="P76" s="5"/>
      <c r="Q76" s="5"/>
    </row>
    <row r="77" spans="2:17" x14ac:dyDescent="0.15">
      <c r="B77" s="41" t="s">
        <v>158</v>
      </c>
      <c r="C77" s="39" t="e">
        <f>$C$69-C76</f>
        <v>#NUM!</v>
      </c>
      <c r="D77" s="39" t="e">
        <f t="shared" ref="D77:N77" si="9">C77-D76</f>
        <v>#NUM!</v>
      </c>
      <c r="E77" s="39" t="e">
        <f t="shared" si="9"/>
        <v>#NUM!</v>
      </c>
      <c r="F77" s="39" t="e">
        <f t="shared" si="9"/>
        <v>#NUM!</v>
      </c>
      <c r="G77" s="39" t="e">
        <f t="shared" si="9"/>
        <v>#NUM!</v>
      </c>
      <c r="H77" s="39" t="e">
        <f t="shared" si="9"/>
        <v>#NUM!</v>
      </c>
      <c r="I77" s="39" t="e">
        <f t="shared" si="9"/>
        <v>#NUM!</v>
      </c>
      <c r="J77" s="39" t="e">
        <f t="shared" si="9"/>
        <v>#NUM!</v>
      </c>
      <c r="K77" s="39" t="e">
        <f t="shared" si="9"/>
        <v>#NUM!</v>
      </c>
      <c r="L77" s="39" t="e">
        <f t="shared" si="9"/>
        <v>#NUM!</v>
      </c>
      <c r="M77" s="39" t="e">
        <f t="shared" si="9"/>
        <v>#NUM!</v>
      </c>
      <c r="N77" s="39" t="e">
        <f t="shared" si="9"/>
        <v>#NUM!</v>
      </c>
      <c r="O77" s="35"/>
      <c r="P77" s="5"/>
      <c r="Q77" s="5"/>
    </row>
    <row r="78" spans="2:17" x14ac:dyDescent="0.15">
      <c r="B78" s="24" t="s">
        <v>159</v>
      </c>
      <c r="C78" s="36"/>
      <c r="D78" s="36"/>
      <c r="E78" s="36"/>
      <c r="F78" s="36"/>
      <c r="G78" s="36"/>
      <c r="H78" s="36"/>
      <c r="I78" s="36"/>
      <c r="J78" s="36"/>
      <c r="K78" s="36"/>
      <c r="L78" s="36"/>
      <c r="M78" s="36"/>
      <c r="N78" s="36"/>
      <c r="O78" s="36"/>
      <c r="P78" s="5"/>
      <c r="Q78" s="5"/>
    </row>
    <row r="79" spans="2:17" x14ac:dyDescent="0.15">
      <c r="B79" s="41" t="s">
        <v>58</v>
      </c>
      <c r="C79" s="38">
        <f>IF($C$71&lt;13,0,ABS(IPMT($C$70/12,13,$C$71,$C$69)))</f>
        <v>0</v>
      </c>
      <c r="D79" s="38">
        <f>IF($C$71&lt;14,0,ABS(IPMT($C$70/12,14,$C$71,$C$69)))</f>
        <v>0</v>
      </c>
      <c r="E79" s="38">
        <f>IF($C$71&lt;15,0,ABS(IPMT($C$70/12,15,$C$71,$C$69)))</f>
        <v>0</v>
      </c>
      <c r="F79" s="38">
        <f>IF($C$71&lt;16,0,ABS(IPMT($C$70/12,16,$C$71,$C$69)))</f>
        <v>0</v>
      </c>
      <c r="G79" s="38">
        <f>IF($C$71&lt;17,0,ABS(IPMT($C$70/12,17,$C$71,$C$69)))</f>
        <v>0</v>
      </c>
      <c r="H79" s="38">
        <f>IF($C$71&lt;18,0,ABS(IPMT($C$70/12,18,$C$71,$C$69)))</f>
        <v>0</v>
      </c>
      <c r="I79" s="38">
        <f>IF($C$71&lt;19,0,ABS(IPMT($C$70/12,19,$C$71,$C$69)))</f>
        <v>0</v>
      </c>
      <c r="J79" s="38">
        <f>IF($C$71&lt;20,0,ABS(IPMT($C$70/12,20,$C$71,$C$69)))</f>
        <v>0</v>
      </c>
      <c r="K79" s="38">
        <f>IF($C$71&lt;21,0,ABS(IPMT($C$70/12,21,$C$71,$C$69)))</f>
        <v>0</v>
      </c>
      <c r="L79" s="38">
        <f>IF($C$71&lt;22,0,ABS(IPMT($C$70/12,22,$C$71,$C$69)))</f>
        <v>0</v>
      </c>
      <c r="M79" s="38">
        <f>IF($C$71&lt;23,0,ABS(IPMT($C$70/12,23,$C$71,$C$69)))</f>
        <v>0</v>
      </c>
      <c r="N79" s="38">
        <f>IF($C$71&lt;24,0,ABS(IPMT($C$70/12,24,$C$71,$C$69)))</f>
        <v>0</v>
      </c>
      <c r="O79" s="298">
        <f>SUM(C79:N79)</f>
        <v>0</v>
      </c>
      <c r="P79" s="5"/>
      <c r="Q79" s="5"/>
    </row>
    <row r="80" spans="2:17" x14ac:dyDescent="0.15">
      <c r="B80" s="41" t="s">
        <v>157</v>
      </c>
      <c r="C80" s="38">
        <f>IF($C$71&lt;13,0,ABS(PPMT($C$70/12,13,$C$71,$C$69)))</f>
        <v>0</v>
      </c>
      <c r="D80" s="38">
        <f>IF($C$71&lt;14,0,ABS(PPMT($C$70/12,14,$C$71,$C$69)))</f>
        <v>0</v>
      </c>
      <c r="E80" s="38">
        <f>IF($C$71&lt;15,0,ABS(PPMT($C$70/12,15,$C$71,$C$69)))</f>
        <v>0</v>
      </c>
      <c r="F80" s="38">
        <f>IF($C$71&lt;16,0,ABS(PPMT($C$70/12,16,$C$71,$C$69)))</f>
        <v>0</v>
      </c>
      <c r="G80" s="38">
        <f>IF($C$71&lt;17,0,ABS(PPMT($C$70/12,17,$C$71,$C$69)))</f>
        <v>0</v>
      </c>
      <c r="H80" s="38">
        <f>IF($C$71&lt;18,0,ABS(PPMT($C$70/12,18,$C$71,$C$69)))</f>
        <v>0</v>
      </c>
      <c r="I80" s="38">
        <f>IF($C$71&lt;19,0,ABS(PPMT($C$70/12,19,$C$71,$C$69)))</f>
        <v>0</v>
      </c>
      <c r="J80" s="38">
        <f>IF($C$71&lt;20,0,ABS(PPMT($C$70/12,20,$C$71,$C$69)))</f>
        <v>0</v>
      </c>
      <c r="K80" s="38">
        <f>IF($C$71&lt;21,0,ABS(PPMT($C$70/12,21,$C$71,$C$69)))</f>
        <v>0</v>
      </c>
      <c r="L80" s="38">
        <f>IF($C$71&lt;22,0,ABS(PPMT($C$70/12,22,$C$71,$C$69)))</f>
        <v>0</v>
      </c>
      <c r="M80" s="38">
        <f>IF($C$71&lt;23,0,ABS(PPMT($C$70/12,23,$C$71,$C$69)))</f>
        <v>0</v>
      </c>
      <c r="N80" s="38">
        <f>IF($C$71&lt;24,0,ABS(PPMT($C$70/12,24,$C$71,$C$69)))</f>
        <v>0</v>
      </c>
      <c r="O80" s="298">
        <f>SUM(C80:N80)</f>
        <v>0</v>
      </c>
      <c r="P80" s="5"/>
      <c r="Q80" s="5"/>
    </row>
    <row r="81" spans="2:17" x14ac:dyDescent="0.15">
      <c r="B81" s="41" t="s">
        <v>158</v>
      </c>
      <c r="C81" s="39" t="e">
        <f>N77-C80</f>
        <v>#NUM!</v>
      </c>
      <c r="D81" s="39" t="e">
        <f t="shared" ref="D81:N81" si="10">C81-D80</f>
        <v>#NUM!</v>
      </c>
      <c r="E81" s="39" t="e">
        <f t="shared" si="10"/>
        <v>#NUM!</v>
      </c>
      <c r="F81" s="39" t="e">
        <f t="shared" si="10"/>
        <v>#NUM!</v>
      </c>
      <c r="G81" s="39" t="e">
        <f t="shared" si="10"/>
        <v>#NUM!</v>
      </c>
      <c r="H81" s="39" t="e">
        <f t="shared" si="10"/>
        <v>#NUM!</v>
      </c>
      <c r="I81" s="39" t="e">
        <f t="shared" si="10"/>
        <v>#NUM!</v>
      </c>
      <c r="J81" s="39" t="e">
        <f t="shared" si="10"/>
        <v>#NUM!</v>
      </c>
      <c r="K81" s="39" t="e">
        <f t="shared" si="10"/>
        <v>#NUM!</v>
      </c>
      <c r="L81" s="39" t="e">
        <f t="shared" si="10"/>
        <v>#NUM!</v>
      </c>
      <c r="M81" s="39" t="e">
        <f t="shared" si="10"/>
        <v>#NUM!</v>
      </c>
      <c r="N81" s="39" t="e">
        <f t="shared" si="10"/>
        <v>#NUM!</v>
      </c>
      <c r="O81" s="35"/>
      <c r="P81" s="5"/>
      <c r="Q81" s="5"/>
    </row>
    <row r="82" spans="2:17" x14ac:dyDescent="0.15">
      <c r="B82" s="24" t="s">
        <v>160</v>
      </c>
      <c r="C82" s="36"/>
      <c r="D82" s="36"/>
      <c r="E82" s="36"/>
      <c r="F82" s="36"/>
      <c r="G82" s="36"/>
      <c r="H82" s="36"/>
      <c r="I82" s="36"/>
      <c r="J82" s="36"/>
      <c r="K82" s="36"/>
      <c r="L82" s="36"/>
      <c r="M82" s="36"/>
      <c r="N82" s="36"/>
      <c r="O82" s="36"/>
      <c r="P82" s="5"/>
      <c r="Q82" s="5"/>
    </row>
    <row r="83" spans="2:17" x14ac:dyDescent="0.15">
      <c r="B83" s="41" t="s">
        <v>58</v>
      </c>
      <c r="C83" s="38">
        <f>IF($C$71&lt;25,0,ABS(IPMT($C$70/12,25,$C$71,$C$69)))</f>
        <v>0</v>
      </c>
      <c r="D83" s="38">
        <f>IF($C$71&lt;26,0,ABS(IPMT($C$70/12,26,$C$71,$C$69)))</f>
        <v>0</v>
      </c>
      <c r="E83" s="38">
        <f>IF($C$71&lt;27,0,ABS(IPMT($C$70/12,27,$C$71,$C$69)))</f>
        <v>0</v>
      </c>
      <c r="F83" s="38">
        <f>IF($C$71&lt;28,0,ABS(IPMT($C$70/12,28,$C$71,$C$69)))</f>
        <v>0</v>
      </c>
      <c r="G83" s="38">
        <f>IF($C$71&lt;29,0,ABS(IPMT($C$70/12,29,$C$71,$C$69)))</f>
        <v>0</v>
      </c>
      <c r="H83" s="38">
        <f>IF($C$71&lt;30,0,ABS(IPMT($C$70/12,30,$C$71,$C$69)))</f>
        <v>0</v>
      </c>
      <c r="I83" s="38">
        <f>IF($C$71&lt;31,0,ABS(IPMT($C$70/12,31,$C$71,$C$69)))</f>
        <v>0</v>
      </c>
      <c r="J83" s="38">
        <f>IF($C$71&lt;32,0,ABS(IPMT($C$70/12,32,$C$71,$C$69)))</f>
        <v>0</v>
      </c>
      <c r="K83" s="38">
        <f>IF($C$71&lt;33,0,ABS(IPMT($C$70/12,33,$C$71,$C$69)))</f>
        <v>0</v>
      </c>
      <c r="L83" s="38">
        <f>IF($C$71&lt;34,0,ABS(IPMT($C$70/12,34,$C$71,$C$69)))</f>
        <v>0</v>
      </c>
      <c r="M83" s="38">
        <f>IF($C$71&lt;34,0,ABS(IPMT($C$70/12,35,$C$71,$C$69)))</f>
        <v>0</v>
      </c>
      <c r="N83" s="38">
        <f>IF($C$71&lt;36,0,ABS(IPMT($C$70/12,36,$C$71,$C$69)))</f>
        <v>0</v>
      </c>
      <c r="O83" s="298">
        <f>SUM(C83:N83)</f>
        <v>0</v>
      </c>
      <c r="P83" s="5"/>
      <c r="Q83" s="5"/>
    </row>
    <row r="84" spans="2:17" x14ac:dyDescent="0.15">
      <c r="B84" s="41" t="s">
        <v>157</v>
      </c>
      <c r="C84" s="38">
        <f>IF($C$71&lt;25,0,ABS(PPMT($C$70/12,25,$C$71,$C$69)))</f>
        <v>0</v>
      </c>
      <c r="D84" s="38">
        <f>IF($C$71&lt;26,0,ABS(PPMT($C$70/12,26,$C$71,$C$69)))</f>
        <v>0</v>
      </c>
      <c r="E84" s="38">
        <f>IF($C$71&lt;27,0,ABS(PPMT($C$70/12,27,$C$71,$C$69)))</f>
        <v>0</v>
      </c>
      <c r="F84" s="38">
        <f>IF($C$71&lt;28,0,ABS(PPMT($C$70/12,28,$C$71,$C$69)))</f>
        <v>0</v>
      </c>
      <c r="G84" s="38">
        <f>IF($C$71&lt;29,0,ABS(PPMT($C$70/12,29,$C$71,$C$69)))</f>
        <v>0</v>
      </c>
      <c r="H84" s="38">
        <f>IF($C$71&lt;30,0,ABS(PPMT($C$70/12,30,$C$71,$C$69)))</f>
        <v>0</v>
      </c>
      <c r="I84" s="38">
        <f>IF($C$71&lt;31,0,ABS(PPMT($C$70/12,31,$C$71,$C$69)))</f>
        <v>0</v>
      </c>
      <c r="J84" s="38">
        <f>IF($C$71&lt;32,0,ABS(PPMT($C$70/12,32,$C$71,$C$69)))</f>
        <v>0</v>
      </c>
      <c r="K84" s="38">
        <f>IF($C$71&lt;33,0,ABS(PPMT($C$70/12,33,$C$71,$C$69)))</f>
        <v>0</v>
      </c>
      <c r="L84" s="38">
        <f>IF($C$71&lt;34,0,ABS(PPMT($C$70/12,34,$C$71,$C$69)))</f>
        <v>0</v>
      </c>
      <c r="M84" s="38" t="e">
        <f>ABS(PPMT($C$70/12,35,$C$71,$C$69))</f>
        <v>#NUM!</v>
      </c>
      <c r="N84" s="38">
        <f>IF($C$71&lt;36,0,ABS(PPMT($C$70/12,36,$C$71,$C$69)))</f>
        <v>0</v>
      </c>
      <c r="O84" s="298" t="e">
        <f>SUM(C84:N84)</f>
        <v>#NUM!</v>
      </c>
      <c r="P84" s="5"/>
      <c r="Q84" s="5"/>
    </row>
    <row r="85" spans="2:17" x14ac:dyDescent="0.15">
      <c r="B85" s="41" t="s">
        <v>158</v>
      </c>
      <c r="C85" s="39" t="e">
        <f>N81-C84</f>
        <v>#NUM!</v>
      </c>
      <c r="D85" s="39" t="e">
        <f t="shared" ref="D85:N85" si="11">C85-D84</f>
        <v>#NUM!</v>
      </c>
      <c r="E85" s="39" t="e">
        <f t="shared" si="11"/>
        <v>#NUM!</v>
      </c>
      <c r="F85" s="39" t="e">
        <f t="shared" si="11"/>
        <v>#NUM!</v>
      </c>
      <c r="G85" s="39" t="e">
        <f t="shared" si="11"/>
        <v>#NUM!</v>
      </c>
      <c r="H85" s="39" t="e">
        <f t="shared" si="11"/>
        <v>#NUM!</v>
      </c>
      <c r="I85" s="39" t="e">
        <f t="shared" si="11"/>
        <v>#NUM!</v>
      </c>
      <c r="J85" s="39" t="e">
        <f t="shared" si="11"/>
        <v>#NUM!</v>
      </c>
      <c r="K85" s="39" t="e">
        <f t="shared" si="11"/>
        <v>#NUM!</v>
      </c>
      <c r="L85" s="39" t="e">
        <f t="shared" si="11"/>
        <v>#NUM!</v>
      </c>
      <c r="M85" s="39" t="e">
        <f t="shared" si="11"/>
        <v>#NUM!</v>
      </c>
      <c r="N85" s="39" t="e">
        <f t="shared" si="11"/>
        <v>#NUM!</v>
      </c>
      <c r="O85" s="35"/>
      <c r="P85" s="5"/>
      <c r="Q85" s="5"/>
    </row>
    <row r="86" spans="2:17" x14ac:dyDescent="0.15">
      <c r="B86" s="9"/>
      <c r="C86" s="9"/>
      <c r="D86" s="5"/>
      <c r="E86" s="5"/>
      <c r="F86" s="5"/>
      <c r="G86" s="5"/>
      <c r="H86" s="5"/>
      <c r="I86" s="5"/>
      <c r="J86" s="5"/>
      <c r="K86" s="5"/>
      <c r="L86" s="5"/>
      <c r="M86" s="5"/>
      <c r="N86" s="5"/>
      <c r="O86" s="5"/>
      <c r="P86" s="5"/>
      <c r="Q86" s="5"/>
    </row>
    <row r="87" spans="2:17" x14ac:dyDescent="0.15">
      <c r="B87" s="9"/>
      <c r="C87" s="9"/>
      <c r="D87" s="5"/>
      <c r="E87" s="5"/>
      <c r="F87" s="5"/>
      <c r="G87" s="5"/>
      <c r="H87" s="5"/>
      <c r="I87" s="5"/>
      <c r="J87" s="5"/>
      <c r="K87" s="5"/>
      <c r="L87" s="5"/>
      <c r="M87" s="5"/>
      <c r="N87" s="5"/>
      <c r="O87" s="5"/>
      <c r="P87" s="5"/>
      <c r="Q87" s="5"/>
    </row>
    <row r="88" spans="2:17" ht="13" thickBot="1" x14ac:dyDescent="0.2">
      <c r="B88" s="711" t="s">
        <v>135</v>
      </c>
      <c r="C88" s="711"/>
      <c r="D88" s="5"/>
      <c r="E88" s="5"/>
      <c r="F88" s="5"/>
      <c r="G88" s="5"/>
      <c r="H88" s="5"/>
      <c r="I88" s="5"/>
      <c r="J88" s="5"/>
      <c r="K88" s="5"/>
      <c r="L88" s="5"/>
      <c r="M88" s="5"/>
      <c r="N88" s="5"/>
      <c r="O88" s="5"/>
      <c r="P88" s="5"/>
      <c r="Q88" s="5"/>
    </row>
    <row r="89" spans="2:17" ht="13" thickTop="1" x14ac:dyDescent="0.15">
      <c r="B89" s="142" t="s">
        <v>152</v>
      </c>
      <c r="C89" s="365">
        <f>OtherBankDebt</f>
        <v>0</v>
      </c>
      <c r="D89" s="5"/>
      <c r="E89" s="5"/>
      <c r="F89" s="5"/>
      <c r="G89" s="5"/>
      <c r="H89" s="5"/>
      <c r="I89" s="5"/>
      <c r="J89" s="5"/>
      <c r="K89" s="5"/>
      <c r="L89" s="5"/>
      <c r="M89" s="5"/>
      <c r="N89" s="5"/>
      <c r="O89" s="5"/>
      <c r="P89" s="5"/>
      <c r="Q89" s="5"/>
    </row>
    <row r="90" spans="2:17" x14ac:dyDescent="0.15">
      <c r="B90" s="24" t="s">
        <v>153</v>
      </c>
      <c r="C90" s="27">
        <f>'1-StartingPoint'!E41</f>
        <v>0</v>
      </c>
      <c r="D90" s="5"/>
      <c r="E90" s="5"/>
      <c r="F90" s="5"/>
      <c r="G90" s="5"/>
      <c r="H90" s="5"/>
      <c r="I90" s="5"/>
      <c r="J90" s="5"/>
      <c r="K90" s="5"/>
      <c r="L90" s="5"/>
      <c r="M90" s="5"/>
      <c r="N90" s="5"/>
      <c r="O90" s="5"/>
      <c r="P90" s="5"/>
      <c r="Q90" s="5"/>
    </row>
    <row r="91" spans="2:17" x14ac:dyDescent="0.15">
      <c r="B91" s="24" t="s">
        <v>154</v>
      </c>
      <c r="C91" s="25">
        <f>'1-StartingPoint'!F41</f>
        <v>0</v>
      </c>
      <c r="D91" s="5"/>
      <c r="E91" s="5"/>
      <c r="F91" s="5"/>
      <c r="G91" s="5"/>
      <c r="H91" s="5"/>
      <c r="I91" s="5"/>
      <c r="J91" s="5"/>
      <c r="K91" s="5"/>
      <c r="L91" s="5"/>
      <c r="M91" s="5"/>
      <c r="N91" s="5"/>
      <c r="O91" s="5"/>
      <c r="P91" s="5"/>
      <c r="Q91" s="5"/>
    </row>
    <row r="92" spans="2:17" x14ac:dyDescent="0.15">
      <c r="B92" s="24" t="s">
        <v>155</v>
      </c>
      <c r="C92" s="26" t="e">
        <f>ABS(PMT(C90/12,C91,C89))</f>
        <v>#NUM!</v>
      </c>
      <c r="D92" s="5"/>
      <c r="E92" s="5"/>
      <c r="F92" s="5"/>
      <c r="G92" s="5"/>
      <c r="H92" s="5"/>
      <c r="I92" s="5"/>
      <c r="J92" s="5"/>
      <c r="K92" s="5"/>
      <c r="L92" s="5"/>
      <c r="M92" s="5"/>
      <c r="N92" s="5"/>
      <c r="O92" s="5"/>
      <c r="P92" s="5"/>
      <c r="Q92" s="5"/>
    </row>
    <row r="93" spans="2:17" x14ac:dyDescent="0.15">
      <c r="B93" s="24"/>
      <c r="C93" s="40" t="str">
        <f>SalesForecastYear1!$C$23</f>
        <v xml:space="preserve"> Aug</v>
      </c>
      <c r="D93" s="40" t="str">
        <f>SalesForecastYear1!$D$23</f>
        <v>Sep</v>
      </c>
      <c r="E93" s="40" t="str">
        <f>SalesForecastYear1!$E$23</f>
        <v>Oct</v>
      </c>
      <c r="F93" s="40" t="str">
        <f>SalesForecastYear1!$F$23</f>
        <v>Nov</v>
      </c>
      <c r="G93" s="40" t="str">
        <f>SalesForecastYear1!$G$23</f>
        <v>Dec</v>
      </c>
      <c r="H93" s="40" t="str">
        <f>SalesForecastYear1!$H$23</f>
        <v>Jan</v>
      </c>
      <c r="I93" s="40" t="str">
        <f>SalesForecastYear1!$I$23</f>
        <v>Feb</v>
      </c>
      <c r="J93" s="40" t="str">
        <f>SalesForecastYear1!$J$23</f>
        <v>Mar</v>
      </c>
      <c r="K93" s="40" t="str">
        <f>SalesForecastYear1!$K$23</f>
        <v>Apr</v>
      </c>
      <c r="L93" s="40" t="str">
        <f>SalesForecastYear1!$L$23</f>
        <v>May</v>
      </c>
      <c r="M93" s="40" t="str">
        <f>SalesForecastYear1!$M$23</f>
        <v>Jun</v>
      </c>
      <c r="N93" s="40" t="str">
        <f>SalesForecastYear1!$N$23</f>
        <v>Jul</v>
      </c>
      <c r="O93" s="40" t="s">
        <v>8</v>
      </c>
      <c r="P93" s="5"/>
      <c r="Q93" s="5"/>
    </row>
    <row r="94" spans="2:17" x14ac:dyDescent="0.15">
      <c r="B94" s="24" t="s">
        <v>156</v>
      </c>
      <c r="C94" s="7"/>
      <c r="D94" s="7"/>
      <c r="E94" s="7"/>
      <c r="F94" s="7"/>
      <c r="G94" s="7"/>
      <c r="H94" s="7"/>
      <c r="I94" s="7"/>
      <c r="J94" s="7"/>
      <c r="K94" s="7"/>
      <c r="L94" s="7"/>
      <c r="M94" s="7"/>
      <c r="N94" s="7"/>
      <c r="O94" s="7"/>
      <c r="P94" s="5"/>
      <c r="Q94" s="5"/>
    </row>
    <row r="95" spans="2:17" x14ac:dyDescent="0.15">
      <c r="B95" s="41" t="s">
        <v>58</v>
      </c>
      <c r="C95" s="38" t="e">
        <f>ABS(IPMT($C$90/12,1,$C$91,$C$89))</f>
        <v>#NUM!</v>
      </c>
      <c r="D95" s="38" t="e">
        <f>ABS(IPMT($C$90/12,2,$C$91,$C$89))</f>
        <v>#NUM!</v>
      </c>
      <c r="E95" s="38" t="e">
        <f>ABS(IPMT($C$90/12,3,$C$91,$C$89))</f>
        <v>#NUM!</v>
      </c>
      <c r="F95" s="38" t="e">
        <f>ABS(IPMT($C$90/12,4,$C$91,$C$89))</f>
        <v>#NUM!</v>
      </c>
      <c r="G95" s="38" t="e">
        <f>ABS(IPMT($C$90/12,5,$C$91,$C$89))</f>
        <v>#NUM!</v>
      </c>
      <c r="H95" s="38" t="e">
        <f>ABS(IPMT($C$90/12,6,$C$91,$C$89))</f>
        <v>#NUM!</v>
      </c>
      <c r="I95" s="38" t="e">
        <f>ABS(IPMT($C$90/12,7,$C$91,$C$89))</f>
        <v>#NUM!</v>
      </c>
      <c r="J95" s="38" t="e">
        <f>ABS(IPMT($C$90/12,8,$C$91,$C$89))</f>
        <v>#NUM!</v>
      </c>
      <c r="K95" s="38" t="e">
        <f>ABS(IPMT($C$90/12,9,$C$91,$C$89))</f>
        <v>#NUM!</v>
      </c>
      <c r="L95" s="38" t="e">
        <f>ABS(IPMT($C$90/12,10,$C$91,$C$89))</f>
        <v>#NUM!</v>
      </c>
      <c r="M95" s="38" t="e">
        <f>ABS(IPMT($C$90/12,11,$C$91,$C$89))</f>
        <v>#NUM!</v>
      </c>
      <c r="N95" s="38" t="e">
        <f>ABS(IPMT($C$90/12,12,$C$91,$C$89))</f>
        <v>#NUM!</v>
      </c>
      <c r="O95" s="298" t="e">
        <f>SUM(C95:N95)</f>
        <v>#NUM!</v>
      </c>
      <c r="P95" s="5"/>
      <c r="Q95" s="5"/>
    </row>
    <row r="96" spans="2:17" x14ac:dyDescent="0.15">
      <c r="B96" s="41" t="s">
        <v>157</v>
      </c>
      <c r="C96" s="38" t="e">
        <f>ABS(PPMT($C$90/12,1,$C$91,$C$89))</f>
        <v>#NUM!</v>
      </c>
      <c r="D96" s="38" t="e">
        <f>ABS(PPMT($C$90/12,2,$C$91,$C$89))</f>
        <v>#NUM!</v>
      </c>
      <c r="E96" s="38" t="e">
        <f>ABS(PPMT($C$90/12,3,$C$91,$C$89))</f>
        <v>#NUM!</v>
      </c>
      <c r="F96" s="38" t="e">
        <f>ABS(PPMT($C$90/12,4,$C$91,$C$89))</f>
        <v>#NUM!</v>
      </c>
      <c r="G96" s="38" t="e">
        <f>ABS(PPMT($C$90/12,5,$C$91,$C$89))</f>
        <v>#NUM!</v>
      </c>
      <c r="H96" s="38" t="e">
        <f>ABS(PPMT($C$90/12,6,$C$91,$C$89))</f>
        <v>#NUM!</v>
      </c>
      <c r="I96" s="38" t="e">
        <f>ABS(PPMT($C$90/12,7,$C$91,$C$89))</f>
        <v>#NUM!</v>
      </c>
      <c r="J96" s="38" t="e">
        <f>ABS(PPMT($C$90/12,8,$C$91,$C$89))</f>
        <v>#NUM!</v>
      </c>
      <c r="K96" s="38" t="e">
        <f>ABS(PPMT($C$90/12,9,$C$91,$C$89))</f>
        <v>#NUM!</v>
      </c>
      <c r="L96" s="38" t="e">
        <f>ABS(PPMT($C$90/12,10,$C$91,$C$89))</f>
        <v>#NUM!</v>
      </c>
      <c r="M96" s="38" t="e">
        <f>ABS(PPMT($C$90/12,11,$C$91,$C$89))</f>
        <v>#NUM!</v>
      </c>
      <c r="N96" s="38" t="e">
        <f>ABS(PPMT($C$90/12,12,$C$91,$C$89))</f>
        <v>#NUM!</v>
      </c>
      <c r="O96" s="298" t="e">
        <f>SUM(C96:N96)</f>
        <v>#NUM!</v>
      </c>
      <c r="P96" s="5"/>
      <c r="Q96" s="5"/>
    </row>
    <row r="97" spans="2:17" x14ac:dyDescent="0.15">
      <c r="B97" s="41" t="s">
        <v>158</v>
      </c>
      <c r="C97" s="39" t="e">
        <f>$C$89-C96</f>
        <v>#NUM!</v>
      </c>
      <c r="D97" s="39" t="e">
        <f t="shared" ref="D97:N97" si="12">C97-D96</f>
        <v>#NUM!</v>
      </c>
      <c r="E97" s="39" t="e">
        <f t="shared" si="12"/>
        <v>#NUM!</v>
      </c>
      <c r="F97" s="39" t="e">
        <f t="shared" si="12"/>
        <v>#NUM!</v>
      </c>
      <c r="G97" s="39" t="e">
        <f t="shared" si="12"/>
        <v>#NUM!</v>
      </c>
      <c r="H97" s="39" t="e">
        <f t="shared" si="12"/>
        <v>#NUM!</v>
      </c>
      <c r="I97" s="39" t="e">
        <f t="shared" si="12"/>
        <v>#NUM!</v>
      </c>
      <c r="J97" s="39" t="e">
        <f t="shared" si="12"/>
        <v>#NUM!</v>
      </c>
      <c r="K97" s="39" t="e">
        <f t="shared" si="12"/>
        <v>#NUM!</v>
      </c>
      <c r="L97" s="39" t="e">
        <f t="shared" si="12"/>
        <v>#NUM!</v>
      </c>
      <c r="M97" s="39" t="e">
        <f t="shared" si="12"/>
        <v>#NUM!</v>
      </c>
      <c r="N97" s="39" t="e">
        <f t="shared" si="12"/>
        <v>#NUM!</v>
      </c>
      <c r="O97" s="35"/>
      <c r="P97" s="5"/>
      <c r="Q97" s="5"/>
    </row>
    <row r="98" spans="2:17" x14ac:dyDescent="0.15">
      <c r="B98" s="24" t="s">
        <v>159</v>
      </c>
      <c r="C98" s="36"/>
      <c r="D98" s="36"/>
      <c r="E98" s="36"/>
      <c r="F98" s="36"/>
      <c r="G98" s="36"/>
      <c r="H98" s="36"/>
      <c r="I98" s="36"/>
      <c r="J98" s="36"/>
      <c r="K98" s="36"/>
      <c r="L98" s="36"/>
      <c r="M98" s="36"/>
      <c r="N98" s="36"/>
      <c r="O98" s="36"/>
      <c r="P98" s="5"/>
      <c r="Q98" s="5"/>
    </row>
    <row r="99" spans="2:17" x14ac:dyDescent="0.15">
      <c r="B99" s="41" t="s">
        <v>58</v>
      </c>
      <c r="C99" s="38">
        <f>IF($C$91&lt;13,0,ABS(IPMT($C$90/12,13,$C$91,$C$89)))</f>
        <v>0</v>
      </c>
      <c r="D99" s="38">
        <f>IF($C$91&lt;14,0,ABS(IPMT($C$90/12,14,$C$91,$C$89)))</f>
        <v>0</v>
      </c>
      <c r="E99" s="38">
        <f>IF($C$91&lt;15,0,ABS(IPMT($C$90/12,15,$C$91,$C$89)))</f>
        <v>0</v>
      </c>
      <c r="F99" s="38">
        <f>IF($C$91&lt;16,0,ABS(IPMT($C$90/12,16,$C$91,$C$89)))</f>
        <v>0</v>
      </c>
      <c r="G99" s="38">
        <f>IF($C$91&lt;17,0,ABS(IPMT($C$90/12,17,$C$91,$C$89)))</f>
        <v>0</v>
      </c>
      <c r="H99" s="38">
        <f>IF($C$91&lt;18,0,ABS(IPMT($C$90/12,18,$C$91,$C$89)))</f>
        <v>0</v>
      </c>
      <c r="I99" s="38">
        <f>IF($C$91&lt;19,0,ABS(IPMT($C$90/12,19,$C$91,$C$89)))</f>
        <v>0</v>
      </c>
      <c r="J99" s="38">
        <f>IF($C$91&lt;20,0,ABS(IPMT($C$90/12,20,$C$91,$C$89)))</f>
        <v>0</v>
      </c>
      <c r="K99" s="38">
        <f>IF($C$91&lt;21,0,ABS(IPMT($C$90/12,21,$C$91,$C$89)))</f>
        <v>0</v>
      </c>
      <c r="L99" s="38">
        <f>IF($C$91&lt;22,0,ABS(IPMT($C$90/12,22,$C$91,$C$89)))</f>
        <v>0</v>
      </c>
      <c r="M99" s="38">
        <f>IF($C$91&lt;23,0,ABS(IPMT($C$90/23,11,$C$91,$C$89)))</f>
        <v>0</v>
      </c>
      <c r="N99" s="38">
        <f>IF($C$91&lt;24,0,ABS(IPMT($C$90/12,24,$C$91,$C$89)))</f>
        <v>0</v>
      </c>
      <c r="O99" s="298">
        <f>SUM(C99:N99)</f>
        <v>0</v>
      </c>
      <c r="P99" s="5"/>
      <c r="Q99" s="5"/>
    </row>
    <row r="100" spans="2:17" x14ac:dyDescent="0.15">
      <c r="B100" s="41" t="s">
        <v>157</v>
      </c>
      <c r="C100" s="38">
        <f>IF($C$91&lt;13,0,ABS(PPMT($C$90/12,13,$C$91,$C$89)))</f>
        <v>0</v>
      </c>
      <c r="D100" s="38">
        <f>IF($C$91&lt;14,0,ABS(PPMT($C$90/12,14,$C$91,$C$89)))</f>
        <v>0</v>
      </c>
      <c r="E100" s="38">
        <f>IF($C$91&lt;15,0,ABS(PPMT($C$90/12,15,$C$91,$C$89)))</f>
        <v>0</v>
      </c>
      <c r="F100" s="38">
        <f>IF($C$91&lt;16,0,ABS(PPMT($C$90/12,16,$C$91,$C$89)))</f>
        <v>0</v>
      </c>
      <c r="G100" s="38">
        <f>IF($C$91&lt;17,0,ABS(PPMT($C$90/12,17,$C$91,$C$89)))</f>
        <v>0</v>
      </c>
      <c r="H100" s="38">
        <f>IF($C$91&lt;18,0,ABS(PPMT($C$90/12,18,$C$91,$C$89)))</f>
        <v>0</v>
      </c>
      <c r="I100" s="38">
        <f>IF($C$91&lt;19,0,ABS(PPMT($C$90/12,19,$C$91,$C$89)))</f>
        <v>0</v>
      </c>
      <c r="J100" s="38">
        <f>IF($C$91&lt;20,0,ABS(PPMT($C$90/12,20,$C$91,$C$89)))</f>
        <v>0</v>
      </c>
      <c r="K100" s="38">
        <f>IF($C$91&lt;21,0,ABS(PPMT($C$90/12,21,$C$91,$C$89)))</f>
        <v>0</v>
      </c>
      <c r="L100" s="38">
        <f>IF($C$91&lt;22,0,ABS(PPMT($C$90/12,22,$C$91,$C$89)))</f>
        <v>0</v>
      </c>
      <c r="M100" s="38">
        <f>IF($C$91&lt;23,0,ABS(PPMT($C$90/12,23,$C$91,$C$89)))</f>
        <v>0</v>
      </c>
      <c r="N100" s="38">
        <f>IF($C$91&lt;24,0,ABS(PPMT($C$90/12,24,$C$91,$C$89)))</f>
        <v>0</v>
      </c>
      <c r="O100" s="298">
        <f>SUM(C100:N100)</f>
        <v>0</v>
      </c>
      <c r="P100" s="5"/>
      <c r="Q100" s="5"/>
    </row>
    <row r="101" spans="2:17" x14ac:dyDescent="0.15">
      <c r="B101" s="41" t="s">
        <v>158</v>
      </c>
      <c r="C101" s="39" t="e">
        <f>N97-C100</f>
        <v>#NUM!</v>
      </c>
      <c r="D101" s="39" t="e">
        <f t="shared" ref="D101:N101" si="13">C101-D100</f>
        <v>#NUM!</v>
      </c>
      <c r="E101" s="39" t="e">
        <f t="shared" si="13"/>
        <v>#NUM!</v>
      </c>
      <c r="F101" s="39" t="e">
        <f t="shared" si="13"/>
        <v>#NUM!</v>
      </c>
      <c r="G101" s="39" t="e">
        <f t="shared" si="13"/>
        <v>#NUM!</v>
      </c>
      <c r="H101" s="39" t="e">
        <f t="shared" si="13"/>
        <v>#NUM!</v>
      </c>
      <c r="I101" s="39" t="e">
        <f t="shared" si="13"/>
        <v>#NUM!</v>
      </c>
      <c r="J101" s="39" t="e">
        <f t="shared" si="13"/>
        <v>#NUM!</v>
      </c>
      <c r="K101" s="39" t="e">
        <f t="shared" si="13"/>
        <v>#NUM!</v>
      </c>
      <c r="L101" s="39" t="e">
        <f t="shared" si="13"/>
        <v>#NUM!</v>
      </c>
      <c r="M101" s="39" t="e">
        <f t="shared" si="13"/>
        <v>#NUM!</v>
      </c>
      <c r="N101" s="39" t="e">
        <f t="shared" si="13"/>
        <v>#NUM!</v>
      </c>
      <c r="O101" s="35"/>
      <c r="P101" s="5"/>
      <c r="Q101" s="5"/>
    </row>
    <row r="102" spans="2:17" x14ac:dyDescent="0.15">
      <c r="B102" s="24" t="s">
        <v>160</v>
      </c>
      <c r="C102" s="36"/>
      <c r="D102" s="36"/>
      <c r="E102" s="36"/>
      <c r="F102" s="36"/>
      <c r="G102" s="36"/>
      <c r="H102" s="36"/>
      <c r="I102" s="36"/>
      <c r="J102" s="36"/>
      <c r="K102" s="36"/>
      <c r="L102" s="36"/>
      <c r="M102" s="36"/>
      <c r="N102" s="36"/>
      <c r="O102" s="36"/>
      <c r="P102" s="5"/>
      <c r="Q102" s="5"/>
    </row>
    <row r="103" spans="2:17" x14ac:dyDescent="0.15">
      <c r="B103" s="41" t="s">
        <v>58</v>
      </c>
      <c r="C103" s="38">
        <f>IF($C$91&lt;25,0,ABS(IPMT($C$90/12,25,$C$91,$C$89)))</f>
        <v>0</v>
      </c>
      <c r="D103" s="38">
        <f>IF($C$91&lt;26,0,ABS(IPMT($C$90/12,26,$C$91,$C$89)))</f>
        <v>0</v>
      </c>
      <c r="E103" s="38">
        <f>IF($C$91&lt;27,0,ABS(IPMT($C$90/12,27,$C$91,$C$89)))</f>
        <v>0</v>
      </c>
      <c r="F103" s="38">
        <f>IF($C$91&lt;28,0,ABS(IPMT($C$90/12,28,$C$91,$C$89)))</f>
        <v>0</v>
      </c>
      <c r="G103" s="38">
        <f>IF($C$91&lt;29,0,ABS(IPMT($C$90/12,29,$C$91,$C$89)))</f>
        <v>0</v>
      </c>
      <c r="H103" s="38">
        <f>IF($C$91&lt;30,0,ABS(IPMT($C$90/12,30,$C$91,$C$89)))</f>
        <v>0</v>
      </c>
      <c r="I103" s="38">
        <f>IF($C$91&lt;31,0,ABS(IPMT($C$90/12,31,$C$91,$C$89)))</f>
        <v>0</v>
      </c>
      <c r="J103" s="38">
        <f>IF($C$91&lt;32,0,ABS(IPMT($C$90/12,32,$C$91,$C$89)))</f>
        <v>0</v>
      </c>
      <c r="K103" s="38">
        <f>IF($C$91&lt;33,0,ABS(IPMT($C$90/12,33,$C$91,$C$89)))</f>
        <v>0</v>
      </c>
      <c r="L103" s="38">
        <f>IF($C$91&lt;34,0,ABS(IPMT($C$90/12,34,$C$91,$C$89)))</f>
        <v>0</v>
      </c>
      <c r="M103" s="38">
        <f>IF($C$91&lt;35,0,ABS(IPMT($C$90/12,35,$C$91,$C$89)))</f>
        <v>0</v>
      </c>
      <c r="N103" s="38">
        <f>IF($C$91&lt;36,0,ABS(IPMT($C$90/12,36,$C$91,$C$89)))</f>
        <v>0</v>
      </c>
      <c r="O103" s="298">
        <f>SUM(C103:N103)</f>
        <v>0</v>
      </c>
      <c r="P103" s="5"/>
      <c r="Q103" s="5"/>
    </row>
    <row r="104" spans="2:17" x14ac:dyDescent="0.15">
      <c r="B104" s="41" t="s">
        <v>157</v>
      </c>
      <c r="C104" s="38">
        <f>IF($C$91&lt;25,0,ABS(PPMT($C$90/12,25,$C$91,$C$89)))</f>
        <v>0</v>
      </c>
      <c r="D104" s="38">
        <f>IF($C$91&lt;26,0,ABS(PPMT($C$90/12,26,$C$91,$C$89)))</f>
        <v>0</v>
      </c>
      <c r="E104" s="38">
        <f>IF($C$91&lt;27,0,ABS(PPMT($C$90/12,27,$C$91,$C$89)))</f>
        <v>0</v>
      </c>
      <c r="F104" s="38">
        <f>IF($C$91&lt;28,0,ABS(PPMT($C$90/12,28,$C$91,$C$89)))</f>
        <v>0</v>
      </c>
      <c r="G104" s="38">
        <f>IF($C$91&lt;29,0,ABS(PPMT($C$90/12,29,$C$91,$C$89)))</f>
        <v>0</v>
      </c>
      <c r="H104" s="38">
        <f>IF($C$91&lt;30,0,ABS(PPMT($C$90/12,30,$C$91,$C$89)))</f>
        <v>0</v>
      </c>
      <c r="I104" s="38">
        <f>IF($C$91&lt;31,0,ABS(PPMT($C$90/12,31,$C$91,$C$89)))</f>
        <v>0</v>
      </c>
      <c r="J104" s="38">
        <f>IF($C$91&lt;32,0,ABS(PPMT($C$90/12,32,$C$91,$C$89)))</f>
        <v>0</v>
      </c>
      <c r="K104" s="38">
        <f>IF($C$91&lt;33,0,ABS(PPMT($C$90/12,33,$C$91,$C$89)))</f>
        <v>0</v>
      </c>
      <c r="L104" s="38">
        <f>IF($C$91&lt;34,0,ABS(PPMT($C$90/12,34,$C$91,$C$89)))</f>
        <v>0</v>
      </c>
      <c r="M104" s="38">
        <f>IF($C$91&lt;35,0,ABS(PPMT($C$90/12,35,$C$91,$C$89)))</f>
        <v>0</v>
      </c>
      <c r="N104" s="38">
        <f>IF($C$91&lt;36,0,ABS(PPMT($C$90/12,36,$C$91,$C$89)))</f>
        <v>0</v>
      </c>
      <c r="O104" s="298">
        <f>SUM(C104:N104)</f>
        <v>0</v>
      </c>
      <c r="P104" s="5"/>
      <c r="Q104" s="5"/>
    </row>
    <row r="105" spans="2:17" x14ac:dyDescent="0.15">
      <c r="B105" s="41" t="s">
        <v>158</v>
      </c>
      <c r="C105" s="39" t="e">
        <f>N101-C104</f>
        <v>#NUM!</v>
      </c>
      <c r="D105" s="39" t="e">
        <f t="shared" ref="D105:N105" si="14">C105-D104</f>
        <v>#NUM!</v>
      </c>
      <c r="E105" s="39" t="e">
        <f t="shared" si="14"/>
        <v>#NUM!</v>
      </c>
      <c r="F105" s="39" t="e">
        <f t="shared" si="14"/>
        <v>#NUM!</v>
      </c>
      <c r="G105" s="39" t="e">
        <f t="shared" si="14"/>
        <v>#NUM!</v>
      </c>
      <c r="H105" s="39" t="e">
        <f t="shared" si="14"/>
        <v>#NUM!</v>
      </c>
      <c r="I105" s="39" t="e">
        <f t="shared" si="14"/>
        <v>#NUM!</v>
      </c>
      <c r="J105" s="39" t="e">
        <f t="shared" si="14"/>
        <v>#NUM!</v>
      </c>
      <c r="K105" s="39" t="e">
        <f t="shared" si="14"/>
        <v>#NUM!</v>
      </c>
      <c r="L105" s="39" t="e">
        <f t="shared" si="14"/>
        <v>#NUM!</v>
      </c>
      <c r="M105" s="39" t="e">
        <f t="shared" si="14"/>
        <v>#NUM!</v>
      </c>
      <c r="N105" s="39" t="e">
        <f t="shared" si="14"/>
        <v>#NUM!</v>
      </c>
      <c r="O105" s="35"/>
      <c r="P105" s="5"/>
      <c r="Q105" s="5"/>
    </row>
    <row r="106" spans="2:17" x14ac:dyDescent="0.15">
      <c r="B106" s="9"/>
      <c r="C106" s="9"/>
      <c r="D106" s="5"/>
      <c r="E106" s="5"/>
      <c r="F106" s="5"/>
      <c r="G106" s="5"/>
      <c r="H106" s="5"/>
      <c r="I106" s="5"/>
      <c r="J106" s="5"/>
      <c r="K106" s="5"/>
      <c r="L106" s="5"/>
      <c r="M106" s="5"/>
      <c r="N106" s="5"/>
      <c r="O106" s="5"/>
      <c r="P106" s="5"/>
      <c r="Q106" s="5"/>
    </row>
    <row r="107" spans="2:17" x14ac:dyDescent="0.15">
      <c r="B107" s="5"/>
      <c r="C107" s="5"/>
      <c r="D107" s="5"/>
      <c r="E107" s="5"/>
      <c r="F107" s="5"/>
      <c r="G107" s="5"/>
      <c r="H107" s="5"/>
      <c r="I107" s="5"/>
      <c r="J107" s="5"/>
      <c r="K107" s="5"/>
      <c r="L107" s="5"/>
      <c r="M107" s="5"/>
      <c r="N107" s="5"/>
      <c r="O107" s="5"/>
      <c r="P107" s="5"/>
      <c r="Q107" s="5"/>
    </row>
    <row r="108" spans="2:17" ht="13" thickBot="1" x14ac:dyDescent="0.2">
      <c r="B108" s="711" t="s">
        <v>31</v>
      </c>
      <c r="C108" s="711"/>
      <c r="D108" s="5"/>
      <c r="E108" s="5"/>
      <c r="F108" s="5"/>
      <c r="G108" s="5"/>
      <c r="H108" s="5"/>
      <c r="I108" s="5"/>
      <c r="J108" s="5"/>
      <c r="K108" s="5"/>
      <c r="L108" s="5"/>
      <c r="M108" s="5"/>
      <c r="N108" s="5"/>
      <c r="O108" s="5"/>
      <c r="P108" s="5"/>
      <c r="Q108" s="5"/>
    </row>
    <row r="109" spans="2:17" ht="13" thickTop="1" x14ac:dyDescent="0.15">
      <c r="B109" s="328" t="str">
        <f>'1-StartingPoint'!B10</f>
        <v>Real Estate-Buildings</v>
      </c>
      <c r="C109" s="310">
        <f>'1-StartingPoint'!D10</f>
        <v>20</v>
      </c>
      <c r="D109" s="5"/>
      <c r="E109" s="5"/>
      <c r="F109" s="5"/>
      <c r="G109" s="5"/>
      <c r="H109" s="5"/>
      <c r="I109" s="5"/>
      <c r="J109" s="5"/>
      <c r="K109" s="5"/>
      <c r="L109" s="5"/>
      <c r="M109" s="5"/>
      <c r="N109" s="5"/>
      <c r="O109" s="5"/>
      <c r="P109" s="5"/>
      <c r="Q109" s="5"/>
    </row>
    <row r="110" spans="2:17" x14ac:dyDescent="0.15">
      <c r="B110" s="44" t="str">
        <f>'1-StartingPoint'!B11</f>
        <v>Leasehold Improvements</v>
      </c>
      <c r="C110" s="217">
        <f>'1-StartingPoint'!D11</f>
        <v>7</v>
      </c>
      <c r="D110" s="5"/>
      <c r="E110" s="5"/>
      <c r="F110" s="5"/>
      <c r="G110" s="5"/>
      <c r="H110" s="5"/>
      <c r="I110" s="5"/>
      <c r="J110" s="5"/>
      <c r="K110" s="5"/>
      <c r="L110" s="5"/>
      <c r="M110" s="5"/>
      <c r="N110" s="5"/>
      <c r="O110" s="5"/>
      <c r="P110" s="5"/>
      <c r="Q110" s="5"/>
    </row>
    <row r="111" spans="2:17" x14ac:dyDescent="0.15">
      <c r="B111" s="44" t="str">
        <f>'1-StartingPoint'!B12</f>
        <v>Equipment</v>
      </c>
      <c r="C111" s="217">
        <f>'1-StartingPoint'!D12</f>
        <v>7</v>
      </c>
      <c r="D111" s="5"/>
      <c r="E111" s="5"/>
      <c r="F111" s="5"/>
      <c r="G111" s="5"/>
      <c r="H111" s="5"/>
      <c r="I111" s="5"/>
      <c r="J111" s="5"/>
      <c r="K111" s="5"/>
      <c r="L111" s="5"/>
      <c r="M111" s="5"/>
      <c r="N111" s="5"/>
      <c r="O111" s="5"/>
      <c r="P111" s="5"/>
      <c r="Q111" s="5"/>
    </row>
    <row r="112" spans="2:17" x14ac:dyDescent="0.15">
      <c r="B112" s="44" t="str">
        <f>'1-StartingPoint'!B13</f>
        <v>Furniture and Fixtures</v>
      </c>
      <c r="C112" s="217">
        <f>'1-StartingPoint'!D13</f>
        <v>5</v>
      </c>
      <c r="D112" s="5"/>
      <c r="E112" s="5"/>
      <c r="F112" s="5"/>
      <c r="G112" s="5"/>
      <c r="H112" s="5"/>
      <c r="I112" s="5"/>
      <c r="J112" s="5"/>
      <c r="K112" s="5"/>
      <c r="L112" s="5"/>
      <c r="M112" s="5"/>
      <c r="N112" s="5"/>
      <c r="O112" s="5"/>
      <c r="P112" s="5"/>
      <c r="Q112" s="5"/>
    </row>
    <row r="113" spans="2:17" x14ac:dyDescent="0.15">
      <c r="B113" s="44" t="str">
        <f>'1-StartingPoint'!B14</f>
        <v>Vehicles</v>
      </c>
      <c r="C113" s="217">
        <f>'1-StartingPoint'!D14</f>
        <v>5</v>
      </c>
      <c r="D113" s="5"/>
      <c r="E113" s="5"/>
      <c r="F113" s="5"/>
      <c r="G113" s="5"/>
      <c r="H113" s="5"/>
      <c r="I113" s="5"/>
      <c r="J113" s="5"/>
      <c r="K113" s="5"/>
      <c r="L113" s="5"/>
      <c r="M113" s="5"/>
      <c r="N113" s="5"/>
      <c r="O113" s="5"/>
      <c r="P113" s="5"/>
      <c r="Q113" s="5"/>
    </row>
    <row r="114" spans="2:17" x14ac:dyDescent="0.15">
      <c r="B114" s="44" t="str">
        <f>'1-StartingPoint'!B15</f>
        <v>Other</v>
      </c>
      <c r="C114" s="217">
        <f>'1-StartingPoint'!D15</f>
        <v>5</v>
      </c>
      <c r="D114" s="5"/>
      <c r="E114" s="5"/>
      <c r="F114" s="5"/>
      <c r="G114" s="5"/>
      <c r="H114" s="5"/>
      <c r="I114" s="5"/>
      <c r="J114" s="5"/>
      <c r="K114" s="5"/>
      <c r="L114" s="5"/>
      <c r="M114" s="5"/>
      <c r="N114" s="5"/>
      <c r="O114" s="5"/>
      <c r="P114" s="5"/>
      <c r="Q114" s="5"/>
    </row>
    <row r="115" spans="2:17" x14ac:dyDescent="0.15">
      <c r="B115" s="24"/>
      <c r="C115" s="40" t="str">
        <f>SalesForecastYear1!$C$23</f>
        <v xml:space="preserve"> Aug</v>
      </c>
      <c r="D115" s="40" t="str">
        <f>SalesForecastYear1!$D$23</f>
        <v>Sep</v>
      </c>
      <c r="E115" s="40" t="str">
        <f>SalesForecastYear1!$E$23</f>
        <v>Oct</v>
      </c>
      <c r="F115" s="40" t="str">
        <f>SalesForecastYear1!$F$23</f>
        <v>Nov</v>
      </c>
      <c r="G115" s="40" t="str">
        <f>SalesForecastYear1!$G$23</f>
        <v>Dec</v>
      </c>
      <c r="H115" s="40" t="str">
        <f>SalesForecastYear1!$H$23</f>
        <v>Jan</v>
      </c>
      <c r="I115" s="40" t="str">
        <f>SalesForecastYear1!$I$23</f>
        <v>Feb</v>
      </c>
      <c r="J115" s="40" t="str">
        <f>SalesForecastYear1!$J$23</f>
        <v>Mar</v>
      </c>
      <c r="K115" s="40" t="str">
        <f>SalesForecastYear1!$K$23</f>
        <v>Apr</v>
      </c>
      <c r="L115" s="40" t="str">
        <f>SalesForecastYear1!$L$23</f>
        <v>May</v>
      </c>
      <c r="M115" s="40" t="str">
        <f>SalesForecastYear1!$M$23</f>
        <v>Jun</v>
      </c>
      <c r="N115" s="40" t="str">
        <f>SalesForecastYear1!$N$23</f>
        <v>Jul</v>
      </c>
      <c r="O115" s="40" t="s">
        <v>8</v>
      </c>
      <c r="P115" s="5"/>
      <c r="Q115" s="5"/>
    </row>
    <row r="116" spans="2:17" x14ac:dyDescent="0.15">
      <c r="B116" s="24" t="s">
        <v>156</v>
      </c>
      <c r="C116" s="28"/>
      <c r="D116" s="28"/>
      <c r="E116" s="28"/>
      <c r="F116" s="28"/>
      <c r="G116" s="28"/>
      <c r="H116" s="28"/>
      <c r="I116" s="28"/>
      <c r="J116" s="28"/>
      <c r="K116" s="28"/>
      <c r="L116" s="28"/>
      <c r="M116" s="28"/>
      <c r="N116" s="28"/>
      <c r="O116" s="28"/>
      <c r="P116" s="5"/>
      <c r="Q116" s="5"/>
    </row>
    <row r="117" spans="2:17" x14ac:dyDescent="0.15">
      <c r="B117" s="41" t="s">
        <v>230</v>
      </c>
      <c r="C117" s="38">
        <f>(Buildings/'1-StartingPoint'!$D$10/12)+(LeaseImprovements/'1-StartingPoint'!$D$11/12)+(Equipment/'1-StartingPoint'!$D$12/12)+(Furniture/'1-StartingPoint'!$D$13/12)+(Vehicles/'1-StartingPoint'!$D$14/12)+(OtherFixedAssets/'1-StartingPoint'!$D$15/12)</f>
        <v>0</v>
      </c>
      <c r="D117" s="38">
        <f>C119</f>
        <v>0</v>
      </c>
      <c r="E117" s="38">
        <f t="shared" ref="E117:N117" si="15">D119</f>
        <v>0</v>
      </c>
      <c r="F117" s="38">
        <f t="shared" si="15"/>
        <v>0</v>
      </c>
      <c r="G117" s="38">
        <f t="shared" si="15"/>
        <v>0</v>
      </c>
      <c r="H117" s="38">
        <f t="shared" si="15"/>
        <v>0</v>
      </c>
      <c r="I117" s="38">
        <f t="shared" si="15"/>
        <v>0</v>
      </c>
      <c r="J117" s="38">
        <f t="shared" si="15"/>
        <v>0</v>
      </c>
      <c r="K117" s="38">
        <f t="shared" si="15"/>
        <v>0</v>
      </c>
      <c r="L117" s="38">
        <f t="shared" si="15"/>
        <v>0</v>
      </c>
      <c r="M117" s="38">
        <f t="shared" si="15"/>
        <v>0</v>
      </c>
      <c r="N117" s="38">
        <f t="shared" si="15"/>
        <v>0</v>
      </c>
      <c r="O117" s="298">
        <f>SUM(C117:N117)</f>
        <v>0</v>
      </c>
      <c r="P117" s="5"/>
      <c r="Q117" s="5"/>
    </row>
    <row r="118" spans="2:17" x14ac:dyDescent="0.15">
      <c r="B118" s="41" t="s">
        <v>231</v>
      </c>
      <c r="C118" s="38">
        <v>0</v>
      </c>
      <c r="D118" s="38">
        <f>('4-AdditionalInputs'!E29/'4-AdditionalInputs'!$C$29/12)+('4-AdditionalInputs'!E30/'4-AdditionalInputs'!$C$30/12)+('4-AdditionalInputs'!E31/'4-AdditionalInputs'!$C$31/12)+('4-AdditionalInputs'!E32/'4-AdditionalInputs'!$C$32/12)+('4-AdditionalInputs'!E33/'4-AdditionalInputs'!$C$33/12)+('4-AdditionalInputs'!E34/'4-AdditionalInputs'!$C$34/12)</f>
        <v>0</v>
      </c>
      <c r="E118" s="38">
        <f>('4-AdditionalInputs'!F29/'4-AdditionalInputs'!$C$29/12)+('4-AdditionalInputs'!F30/'4-AdditionalInputs'!$C$30/12)+('4-AdditionalInputs'!F31/'4-AdditionalInputs'!$C$31/12)+('4-AdditionalInputs'!F32/'4-AdditionalInputs'!$C$32/12)+('4-AdditionalInputs'!F33/'4-AdditionalInputs'!$C$33/12)+('4-AdditionalInputs'!F34/'4-AdditionalInputs'!$C$34/12)</f>
        <v>0</v>
      </c>
      <c r="F118" s="38">
        <f>('4-AdditionalInputs'!G29/'4-AdditionalInputs'!$C$29/12)+('4-AdditionalInputs'!G30/'4-AdditionalInputs'!$C$30/12)+('4-AdditionalInputs'!G31/'4-AdditionalInputs'!$C$31/12)+('4-AdditionalInputs'!G32/'4-AdditionalInputs'!$C$32/12)+('4-AdditionalInputs'!G33/'4-AdditionalInputs'!$C$33/12)+('4-AdditionalInputs'!G34/'4-AdditionalInputs'!$C$34/12)</f>
        <v>0</v>
      </c>
      <c r="G118" s="38">
        <f>('4-AdditionalInputs'!H29/'4-AdditionalInputs'!$C$29/12)+('4-AdditionalInputs'!H30/'4-AdditionalInputs'!$C$30/12)+('4-AdditionalInputs'!H31/'4-AdditionalInputs'!$C$31/12)+('4-AdditionalInputs'!H32/'4-AdditionalInputs'!$C$32/12)+('4-AdditionalInputs'!H33/'4-AdditionalInputs'!$C$33/12)+('4-AdditionalInputs'!H34/'4-AdditionalInputs'!$C$34/12)</f>
        <v>0</v>
      </c>
      <c r="H118" s="38">
        <f>('4-AdditionalInputs'!I29/'4-AdditionalInputs'!$C$29/12)+('4-AdditionalInputs'!I30/'4-AdditionalInputs'!$C$30/12)+('4-AdditionalInputs'!I31/'4-AdditionalInputs'!$C$31/12)+('4-AdditionalInputs'!I32/'4-AdditionalInputs'!$C$32/12)+('4-AdditionalInputs'!I33/'4-AdditionalInputs'!$C$33/12)+('4-AdditionalInputs'!I34/'4-AdditionalInputs'!$C$34/12)</f>
        <v>0</v>
      </c>
      <c r="I118" s="38">
        <f>('4-AdditionalInputs'!J29/'4-AdditionalInputs'!$C$29/12)+('4-AdditionalInputs'!J30/'4-AdditionalInputs'!$C$30/12)+('4-AdditionalInputs'!J31/'4-AdditionalInputs'!$C$31/12)+('4-AdditionalInputs'!J32/'4-AdditionalInputs'!$C$32/12)+('4-AdditionalInputs'!J33/'4-AdditionalInputs'!$C$33/12)+('4-AdditionalInputs'!J34/'4-AdditionalInputs'!$C$34/12)</f>
        <v>0</v>
      </c>
      <c r="J118" s="38">
        <f>('4-AdditionalInputs'!K29/'4-AdditionalInputs'!$C$29/12)+('4-AdditionalInputs'!K30/'4-AdditionalInputs'!$C$30/12)+('4-AdditionalInputs'!K31/'4-AdditionalInputs'!$C$31/12)+('4-AdditionalInputs'!K32/'4-AdditionalInputs'!$C$32/12)+('4-AdditionalInputs'!K33/'4-AdditionalInputs'!$C$33/12)+('4-AdditionalInputs'!K34/'4-AdditionalInputs'!$C$34/12)</f>
        <v>0</v>
      </c>
      <c r="K118" s="38">
        <f>('4-AdditionalInputs'!L29/'4-AdditionalInputs'!$C$29/12)+('4-AdditionalInputs'!L30/'4-AdditionalInputs'!$C$30/12)+('4-AdditionalInputs'!L31/'4-AdditionalInputs'!$C$31/12)+('4-AdditionalInputs'!L32/'4-AdditionalInputs'!$C$32/12)+('4-AdditionalInputs'!L33/'4-AdditionalInputs'!$C$33/12)+('4-AdditionalInputs'!L34/'4-AdditionalInputs'!$C$34/12)</f>
        <v>0</v>
      </c>
      <c r="L118" s="38">
        <f>('4-AdditionalInputs'!M29/'4-AdditionalInputs'!$C$29/12)+('4-AdditionalInputs'!M30/'4-AdditionalInputs'!$C$30/12)+('4-AdditionalInputs'!M31/'4-AdditionalInputs'!$C$31/12)+('4-AdditionalInputs'!M32/'4-AdditionalInputs'!$C$32/12)+('4-AdditionalInputs'!M33/'4-AdditionalInputs'!$C$33/12)+('4-AdditionalInputs'!M34/'4-AdditionalInputs'!$C$34/12)</f>
        <v>0</v>
      </c>
      <c r="M118" s="38">
        <f>('4-AdditionalInputs'!N29/'4-AdditionalInputs'!$C$29/12)+('4-AdditionalInputs'!N30/'4-AdditionalInputs'!$C$30/12)+('4-AdditionalInputs'!N31/'4-AdditionalInputs'!$C$31/12)+('4-AdditionalInputs'!N32/'4-AdditionalInputs'!$C$32/12)+('4-AdditionalInputs'!N33/'4-AdditionalInputs'!$C$33/12)+('4-AdditionalInputs'!N34/'4-AdditionalInputs'!$C$34/12)</f>
        <v>0</v>
      </c>
      <c r="N118" s="38">
        <f>('4-AdditionalInputs'!O29/'4-AdditionalInputs'!$C$29/12)+('4-AdditionalInputs'!O30/'4-AdditionalInputs'!$C$30/12)+('4-AdditionalInputs'!O31/'4-AdditionalInputs'!$C$31/12)+('4-AdditionalInputs'!O32/'4-AdditionalInputs'!$C$32/12)+('4-AdditionalInputs'!O33/'4-AdditionalInputs'!$C$33/12)+('4-AdditionalInputs'!O34/'4-AdditionalInputs'!$C$34/12)</f>
        <v>0</v>
      </c>
      <c r="O118" s="38"/>
      <c r="P118" s="5"/>
      <c r="Q118" s="5"/>
    </row>
    <row r="119" spans="2:17" x14ac:dyDescent="0.15">
      <c r="B119" s="41" t="s">
        <v>232</v>
      </c>
      <c r="C119" s="39">
        <f>SUM(C117:C118)</f>
        <v>0</v>
      </c>
      <c r="D119" s="39">
        <f t="shared" ref="D119:N119" si="16">SUM(D117:D118)</f>
        <v>0</v>
      </c>
      <c r="E119" s="39">
        <f t="shared" si="16"/>
        <v>0</v>
      </c>
      <c r="F119" s="39">
        <f t="shared" si="16"/>
        <v>0</v>
      </c>
      <c r="G119" s="39">
        <f t="shared" si="16"/>
        <v>0</v>
      </c>
      <c r="H119" s="39">
        <f t="shared" si="16"/>
        <v>0</v>
      </c>
      <c r="I119" s="39">
        <f t="shared" si="16"/>
        <v>0</v>
      </c>
      <c r="J119" s="39">
        <f t="shared" si="16"/>
        <v>0</v>
      </c>
      <c r="K119" s="39">
        <f t="shared" si="16"/>
        <v>0</v>
      </c>
      <c r="L119" s="39">
        <f t="shared" si="16"/>
        <v>0</v>
      </c>
      <c r="M119" s="39">
        <f t="shared" si="16"/>
        <v>0</v>
      </c>
      <c r="N119" s="39">
        <f t="shared" si="16"/>
        <v>0</v>
      </c>
      <c r="O119" s="298">
        <f t="shared" ref="O119:O127" si="17">SUM(C119:N119)</f>
        <v>0</v>
      </c>
      <c r="P119" s="5"/>
      <c r="Q119" s="5"/>
    </row>
    <row r="120" spans="2:17" x14ac:dyDescent="0.15">
      <c r="B120" s="24" t="s">
        <v>159</v>
      </c>
      <c r="C120" s="28"/>
      <c r="D120" s="28"/>
      <c r="E120" s="28"/>
      <c r="F120" s="28"/>
      <c r="G120" s="28"/>
      <c r="H120" s="28"/>
      <c r="I120" s="28"/>
      <c r="J120" s="28"/>
      <c r="K120" s="28"/>
      <c r="L120" s="28"/>
      <c r="M120" s="28"/>
      <c r="N120" s="28"/>
      <c r="O120" s="38"/>
      <c r="P120" s="5"/>
      <c r="Q120" s="5"/>
    </row>
    <row r="121" spans="2:17" x14ac:dyDescent="0.15">
      <c r="B121" s="41" t="s">
        <v>230</v>
      </c>
      <c r="C121" s="38">
        <f>N119</f>
        <v>0</v>
      </c>
      <c r="D121" s="38">
        <f>C123</f>
        <v>0</v>
      </c>
      <c r="E121" s="38">
        <f t="shared" ref="E121:N121" si="18">D123</f>
        <v>0</v>
      </c>
      <c r="F121" s="38">
        <f t="shared" si="18"/>
        <v>0</v>
      </c>
      <c r="G121" s="38">
        <f t="shared" si="18"/>
        <v>0</v>
      </c>
      <c r="H121" s="38">
        <f t="shared" si="18"/>
        <v>0</v>
      </c>
      <c r="I121" s="38">
        <f t="shared" si="18"/>
        <v>0</v>
      </c>
      <c r="J121" s="38">
        <f t="shared" si="18"/>
        <v>0</v>
      </c>
      <c r="K121" s="38">
        <f t="shared" si="18"/>
        <v>0</v>
      </c>
      <c r="L121" s="38">
        <f t="shared" si="18"/>
        <v>0</v>
      </c>
      <c r="M121" s="38">
        <f t="shared" si="18"/>
        <v>0</v>
      </c>
      <c r="N121" s="38">
        <f t="shared" si="18"/>
        <v>0</v>
      </c>
      <c r="O121" s="298">
        <f t="shared" si="17"/>
        <v>0</v>
      </c>
      <c r="P121" s="5"/>
      <c r="Q121" s="5"/>
    </row>
    <row r="122" spans="2:17" x14ac:dyDescent="0.15">
      <c r="B122" s="41" t="s">
        <v>231</v>
      </c>
      <c r="C122" s="38">
        <f>('4-AdditionalInputs'!$Q$29/'4-AdditionalInputs'!$C$29/12/12)+('4-AdditionalInputs'!$Q$30/'4-AdditionalInputs'!$C$30/12/12)+('4-AdditionalInputs'!$Q$31/'4-AdditionalInputs'!$C$31/12/12)+('4-AdditionalInputs'!$Q$32/'4-AdditionalInputs'!$C$32/12/12)+('4-AdditionalInputs'!$Q$33/'4-AdditionalInputs'!$C$33/12/12)+('4-AdditionalInputs'!$Q$34/'4-AdditionalInputs'!$C$34/12/12)</f>
        <v>0</v>
      </c>
      <c r="D122" s="38">
        <f>('4-AdditionalInputs'!$Q$29/'4-AdditionalInputs'!$C$29/12/12)+('4-AdditionalInputs'!$Q$30/'4-AdditionalInputs'!$C$30/12/12)+('4-AdditionalInputs'!$Q$31/'4-AdditionalInputs'!$C$31/12/12)+('4-AdditionalInputs'!$Q$32/'4-AdditionalInputs'!$C$32/12/12)+('4-AdditionalInputs'!$Q$33/'4-AdditionalInputs'!$C$33/12/12)+('4-AdditionalInputs'!$Q$34/'4-AdditionalInputs'!$C$34/12/12)</f>
        <v>0</v>
      </c>
      <c r="E122" s="38">
        <f>('4-AdditionalInputs'!$Q$29/'4-AdditionalInputs'!$C$29/12/12)+('4-AdditionalInputs'!$Q$30/'4-AdditionalInputs'!$C$30/12/12)+('4-AdditionalInputs'!$Q$31/'4-AdditionalInputs'!$C$31/12/12)+('4-AdditionalInputs'!$Q$32/'4-AdditionalInputs'!$C$32/12/12)+('4-AdditionalInputs'!$Q$33/'4-AdditionalInputs'!$C$33/12/12)+('4-AdditionalInputs'!$Q$34/'4-AdditionalInputs'!$C$34/12/12)</f>
        <v>0</v>
      </c>
      <c r="F122" s="38">
        <f>('4-AdditionalInputs'!$Q$29/'4-AdditionalInputs'!$C$29/12/12)+('4-AdditionalInputs'!$Q$30/'4-AdditionalInputs'!$C$30/12/12)+('4-AdditionalInputs'!$Q$31/'4-AdditionalInputs'!$C$31/12/12)+('4-AdditionalInputs'!$Q$32/'4-AdditionalInputs'!$C$32/12/12)+('4-AdditionalInputs'!$Q$33/'4-AdditionalInputs'!$C$33/12/12)+('4-AdditionalInputs'!$Q$34/'4-AdditionalInputs'!$C$34/12/12)</f>
        <v>0</v>
      </c>
      <c r="G122" s="38">
        <f>('4-AdditionalInputs'!$Q$29/'4-AdditionalInputs'!$C$29/12/12)+('4-AdditionalInputs'!$Q$30/'4-AdditionalInputs'!$C$30/12/12)+('4-AdditionalInputs'!$Q$31/'4-AdditionalInputs'!$C$31/12/12)+('4-AdditionalInputs'!$Q$32/'4-AdditionalInputs'!$C$32/12/12)+('4-AdditionalInputs'!$Q$33/'4-AdditionalInputs'!$C$33/12/12)+('4-AdditionalInputs'!$Q$34/'4-AdditionalInputs'!$C$34/12/12)</f>
        <v>0</v>
      </c>
      <c r="H122" s="38">
        <f>('4-AdditionalInputs'!$Q$29/'4-AdditionalInputs'!$C$29/12/12)+('4-AdditionalInputs'!$Q$30/'4-AdditionalInputs'!$C$30/12/12)+('4-AdditionalInputs'!$Q$31/'4-AdditionalInputs'!$C$31/12/12)+('4-AdditionalInputs'!$Q$32/'4-AdditionalInputs'!$C$32/12/12)+('4-AdditionalInputs'!$Q$33/'4-AdditionalInputs'!$C$33/12/12)+('4-AdditionalInputs'!$Q$34/'4-AdditionalInputs'!$C$34/12/12)</f>
        <v>0</v>
      </c>
      <c r="I122" s="38">
        <f>('4-AdditionalInputs'!$Q$29/'4-AdditionalInputs'!$C$29/12/12)+('4-AdditionalInputs'!$Q$30/'4-AdditionalInputs'!$C$30/12/12)+('4-AdditionalInputs'!$Q$31/'4-AdditionalInputs'!$C$31/12/12)+('4-AdditionalInputs'!$Q$32/'4-AdditionalInputs'!$C$32/12/12)+('4-AdditionalInputs'!$Q$33/'4-AdditionalInputs'!$C$33/12/12)+('4-AdditionalInputs'!$Q$34/'4-AdditionalInputs'!$C$34/12/12)</f>
        <v>0</v>
      </c>
      <c r="J122" s="38">
        <f>('4-AdditionalInputs'!$Q$29/'4-AdditionalInputs'!$C$29/12/12)+('4-AdditionalInputs'!$Q$30/'4-AdditionalInputs'!$C$30/12/12)+('4-AdditionalInputs'!$Q$31/'4-AdditionalInputs'!$C$31/12/12)+('4-AdditionalInputs'!$Q$32/'4-AdditionalInputs'!$C$32/12/12)+('4-AdditionalInputs'!$Q$33/'4-AdditionalInputs'!$C$33/12/12)+('4-AdditionalInputs'!$Q$34/'4-AdditionalInputs'!$C$34/12/12)</f>
        <v>0</v>
      </c>
      <c r="K122" s="38">
        <f>('4-AdditionalInputs'!$Q$29/'4-AdditionalInputs'!$C$29/12/12)+('4-AdditionalInputs'!$Q$30/'4-AdditionalInputs'!$C$30/12/12)+('4-AdditionalInputs'!$Q$31/'4-AdditionalInputs'!$C$31/12/12)+('4-AdditionalInputs'!$Q$32/'4-AdditionalInputs'!$C$32/12/12)+('4-AdditionalInputs'!$Q$33/'4-AdditionalInputs'!$C$33/12/12)+('4-AdditionalInputs'!$Q$34/'4-AdditionalInputs'!$C$34/12/12)</f>
        <v>0</v>
      </c>
      <c r="L122" s="38">
        <f>('4-AdditionalInputs'!$Q$29/'4-AdditionalInputs'!$C$29/12/12)+('4-AdditionalInputs'!$Q$30/'4-AdditionalInputs'!$C$30/12/12)+('4-AdditionalInputs'!$Q$31/'4-AdditionalInputs'!$C$31/12/12)+('4-AdditionalInputs'!$Q$32/'4-AdditionalInputs'!$C$32/12/12)+('4-AdditionalInputs'!$Q$33/'4-AdditionalInputs'!$C$33/12/12)+('4-AdditionalInputs'!$Q$34/'4-AdditionalInputs'!$C$34/12/12)</f>
        <v>0</v>
      </c>
      <c r="M122" s="38">
        <f>('4-AdditionalInputs'!$Q$29/'4-AdditionalInputs'!$C$29/12/12)+('4-AdditionalInputs'!$Q$30/'4-AdditionalInputs'!$C$30/12/12)+('4-AdditionalInputs'!$Q$31/'4-AdditionalInputs'!$C$31/12/12)+('4-AdditionalInputs'!$Q$32/'4-AdditionalInputs'!$C$32/12/12)+('4-AdditionalInputs'!$Q$33/'4-AdditionalInputs'!$C$33/12/12)+('4-AdditionalInputs'!$Q$34/'4-AdditionalInputs'!$C$34/12/12)</f>
        <v>0</v>
      </c>
      <c r="N122" s="38">
        <f>('4-AdditionalInputs'!$Q$29/'4-AdditionalInputs'!$C$29/12/12)+('4-AdditionalInputs'!$Q$30/'4-AdditionalInputs'!$C$30/12/12)+('4-AdditionalInputs'!$Q$31/'4-AdditionalInputs'!$C$31/12/12)+('4-AdditionalInputs'!$Q$32/'4-AdditionalInputs'!$C$32/12/12)+('4-AdditionalInputs'!$Q$33/'4-AdditionalInputs'!$C$33/12/12)+('4-AdditionalInputs'!$Q$34/'4-AdditionalInputs'!$C$34/12/12)</f>
        <v>0</v>
      </c>
      <c r="O122" s="38"/>
      <c r="P122" s="5"/>
      <c r="Q122" s="5"/>
    </row>
    <row r="123" spans="2:17" x14ac:dyDescent="0.15">
      <c r="B123" s="41" t="s">
        <v>232</v>
      </c>
      <c r="C123" s="39">
        <f>SUM(C121:C122)</f>
        <v>0</v>
      </c>
      <c r="D123" s="39">
        <f t="shared" ref="D123:N123" si="19">SUM(D121:D122)</f>
        <v>0</v>
      </c>
      <c r="E123" s="39">
        <f t="shared" si="19"/>
        <v>0</v>
      </c>
      <c r="F123" s="39">
        <f t="shared" si="19"/>
        <v>0</v>
      </c>
      <c r="G123" s="39">
        <f t="shared" si="19"/>
        <v>0</v>
      </c>
      <c r="H123" s="39">
        <f t="shared" si="19"/>
        <v>0</v>
      </c>
      <c r="I123" s="39">
        <f t="shared" si="19"/>
        <v>0</v>
      </c>
      <c r="J123" s="39">
        <f t="shared" si="19"/>
        <v>0</v>
      </c>
      <c r="K123" s="39">
        <f t="shared" si="19"/>
        <v>0</v>
      </c>
      <c r="L123" s="39">
        <f t="shared" si="19"/>
        <v>0</v>
      </c>
      <c r="M123" s="39">
        <f t="shared" si="19"/>
        <v>0</v>
      </c>
      <c r="N123" s="39">
        <f t="shared" si="19"/>
        <v>0</v>
      </c>
      <c r="O123" s="298">
        <f t="shared" si="17"/>
        <v>0</v>
      </c>
      <c r="P123" s="5"/>
      <c r="Q123" s="5"/>
    </row>
    <row r="124" spans="2:17" x14ac:dyDescent="0.15">
      <c r="B124" s="24" t="s">
        <v>160</v>
      </c>
      <c r="C124" s="28"/>
      <c r="D124" s="28"/>
      <c r="E124" s="28"/>
      <c r="F124" s="28"/>
      <c r="G124" s="28"/>
      <c r="H124" s="28"/>
      <c r="I124" s="28"/>
      <c r="J124" s="28"/>
      <c r="K124" s="28"/>
      <c r="L124" s="28"/>
      <c r="M124" s="28"/>
      <c r="N124" s="28"/>
      <c r="O124" s="38"/>
      <c r="P124" s="5"/>
      <c r="Q124" s="5"/>
    </row>
    <row r="125" spans="2:17" x14ac:dyDescent="0.15">
      <c r="B125" s="41" t="s">
        <v>230</v>
      </c>
      <c r="C125" s="38">
        <f>N123</f>
        <v>0</v>
      </c>
      <c r="D125" s="38">
        <f>C127</f>
        <v>0</v>
      </c>
      <c r="E125" s="38">
        <f t="shared" ref="E125:N125" si="20">D127</f>
        <v>0</v>
      </c>
      <c r="F125" s="38">
        <f t="shared" si="20"/>
        <v>0</v>
      </c>
      <c r="G125" s="38">
        <f t="shared" si="20"/>
        <v>0</v>
      </c>
      <c r="H125" s="38">
        <f t="shared" si="20"/>
        <v>0</v>
      </c>
      <c r="I125" s="38">
        <f t="shared" si="20"/>
        <v>0</v>
      </c>
      <c r="J125" s="38">
        <f t="shared" si="20"/>
        <v>0</v>
      </c>
      <c r="K125" s="38">
        <f t="shared" si="20"/>
        <v>0</v>
      </c>
      <c r="L125" s="38">
        <f t="shared" si="20"/>
        <v>0</v>
      </c>
      <c r="M125" s="38">
        <f t="shared" si="20"/>
        <v>0</v>
      </c>
      <c r="N125" s="38">
        <f t="shared" si="20"/>
        <v>0</v>
      </c>
      <c r="O125" s="298">
        <f t="shared" si="17"/>
        <v>0</v>
      </c>
      <c r="P125" s="5"/>
      <c r="Q125" s="5"/>
    </row>
    <row r="126" spans="2:17" x14ac:dyDescent="0.15">
      <c r="B126" s="41" t="s">
        <v>231</v>
      </c>
      <c r="C126" s="38">
        <f>('4-AdditionalInputs'!$R$29/'4-AdditionalInputs'!$C$29/12/12)+('4-AdditionalInputs'!$R$30/'4-AdditionalInputs'!$C$30/12/12)+('4-AdditionalInputs'!$R$31/'4-AdditionalInputs'!$C$31/12/12)+('4-AdditionalInputs'!$R$32/'4-AdditionalInputs'!$C$32/12/12)+('4-AdditionalInputs'!$R$33/'4-AdditionalInputs'!$C$33/12/12)+('4-AdditionalInputs'!$R$34/'4-AdditionalInputs'!$C$34/12/12)</f>
        <v>0</v>
      </c>
      <c r="D126" s="38">
        <f>('4-AdditionalInputs'!$R$29/'4-AdditionalInputs'!$C$29/12/12)+('4-AdditionalInputs'!$R$30/'4-AdditionalInputs'!$C$30/12/12)+('4-AdditionalInputs'!$R$31/'4-AdditionalInputs'!$C$31/12/12)+('4-AdditionalInputs'!$R$32/'4-AdditionalInputs'!$C$32/12/12)+('4-AdditionalInputs'!$R$33/'4-AdditionalInputs'!$C$33/12/12)+('4-AdditionalInputs'!$R$34/'4-AdditionalInputs'!$C$34/12/12)</f>
        <v>0</v>
      </c>
      <c r="E126" s="38">
        <f>('4-AdditionalInputs'!$R$29/'4-AdditionalInputs'!$C$29/12/12)+('4-AdditionalInputs'!$R$30/'4-AdditionalInputs'!$C$30/12/12)+('4-AdditionalInputs'!$R$31/'4-AdditionalInputs'!$C$31/12/12)+('4-AdditionalInputs'!$R$32/'4-AdditionalInputs'!$C$32/12/12)+('4-AdditionalInputs'!$R$33/'4-AdditionalInputs'!$C$33/12/12)+('4-AdditionalInputs'!$R$34/'4-AdditionalInputs'!$C$34/12/12)</f>
        <v>0</v>
      </c>
      <c r="F126" s="38">
        <f>('4-AdditionalInputs'!$R$29/'4-AdditionalInputs'!$C$29/12/12)+('4-AdditionalInputs'!$R$30/'4-AdditionalInputs'!$C$30/12/12)+('4-AdditionalInputs'!$R$31/'4-AdditionalInputs'!$C$31/12/12)+('4-AdditionalInputs'!$R$32/'4-AdditionalInputs'!$C$32/12/12)+('4-AdditionalInputs'!$R$33/'4-AdditionalInputs'!$C$33/12/12)+('4-AdditionalInputs'!$R$34/'4-AdditionalInputs'!$C$34/12/12)</f>
        <v>0</v>
      </c>
      <c r="G126" s="38">
        <f>('4-AdditionalInputs'!$R$29/'4-AdditionalInputs'!$C$29/12/12)+('4-AdditionalInputs'!$R$30/'4-AdditionalInputs'!$C$30/12/12)+('4-AdditionalInputs'!$R$31/'4-AdditionalInputs'!$C$31/12/12)+('4-AdditionalInputs'!$R$32/'4-AdditionalInputs'!$C$32/12/12)+('4-AdditionalInputs'!$R$33/'4-AdditionalInputs'!$C$33/12/12)+('4-AdditionalInputs'!$R$34/'4-AdditionalInputs'!$C$34/12/12)</f>
        <v>0</v>
      </c>
      <c r="H126" s="38">
        <f>('4-AdditionalInputs'!$R$29/'4-AdditionalInputs'!$C$29/12/12)+('4-AdditionalInputs'!$R$30/'4-AdditionalInputs'!$C$30/12/12)+('4-AdditionalInputs'!$R$31/'4-AdditionalInputs'!$C$31/12/12)+('4-AdditionalInputs'!$R$32/'4-AdditionalInputs'!$C$32/12/12)+('4-AdditionalInputs'!$R$33/'4-AdditionalInputs'!$C$33/12/12)+('4-AdditionalInputs'!$R$34/'4-AdditionalInputs'!$C$34/12/12)</f>
        <v>0</v>
      </c>
      <c r="I126" s="38">
        <f>('4-AdditionalInputs'!$R$29/'4-AdditionalInputs'!$C$29/12/12)+('4-AdditionalInputs'!$R$30/'4-AdditionalInputs'!$C$30/12/12)+('4-AdditionalInputs'!$R$31/'4-AdditionalInputs'!$C$31/12/12)+('4-AdditionalInputs'!$R$32/'4-AdditionalInputs'!$C$32/12/12)+('4-AdditionalInputs'!$R$33/'4-AdditionalInputs'!$C$33/12/12)+('4-AdditionalInputs'!$R$34/'4-AdditionalInputs'!$C$34/12/12)</f>
        <v>0</v>
      </c>
      <c r="J126" s="38">
        <f>('4-AdditionalInputs'!$R$29/'4-AdditionalInputs'!$C$29/12/12)+('4-AdditionalInputs'!$R$30/'4-AdditionalInputs'!$C$30/12/12)+('4-AdditionalInputs'!$R$31/'4-AdditionalInputs'!$C$31/12/12)+('4-AdditionalInputs'!$R$32/'4-AdditionalInputs'!$C$32/12/12)+('4-AdditionalInputs'!$R$33/'4-AdditionalInputs'!$C$33/12/12)+('4-AdditionalInputs'!$R$34/'4-AdditionalInputs'!$C$34/12/12)</f>
        <v>0</v>
      </c>
      <c r="K126" s="38">
        <f>('4-AdditionalInputs'!$R$29/'4-AdditionalInputs'!$C$29/12/12)+('4-AdditionalInputs'!$R$30/'4-AdditionalInputs'!$C$30/12/12)+('4-AdditionalInputs'!$R$31/'4-AdditionalInputs'!$C$31/12/12)+('4-AdditionalInputs'!$R$32/'4-AdditionalInputs'!$C$32/12/12)+('4-AdditionalInputs'!$R$33/'4-AdditionalInputs'!$C$33/12/12)+('4-AdditionalInputs'!$R$34/'4-AdditionalInputs'!$C$34/12/12)</f>
        <v>0</v>
      </c>
      <c r="L126" s="38">
        <f>('4-AdditionalInputs'!$R$29/'4-AdditionalInputs'!$C$29/12/12)+('4-AdditionalInputs'!$R$30/'4-AdditionalInputs'!$C$30/12/12)+('4-AdditionalInputs'!$R$31/'4-AdditionalInputs'!$C$31/12/12)+('4-AdditionalInputs'!$R$32/'4-AdditionalInputs'!$C$32/12/12)+('4-AdditionalInputs'!$R$33/'4-AdditionalInputs'!$C$33/12/12)+('4-AdditionalInputs'!$R$34/'4-AdditionalInputs'!$C$34/12/12)</f>
        <v>0</v>
      </c>
      <c r="M126" s="38">
        <f>('4-AdditionalInputs'!$R$29/'4-AdditionalInputs'!$C$29/12/12)+('4-AdditionalInputs'!$R$30/'4-AdditionalInputs'!$C$30/12/12)+('4-AdditionalInputs'!$R$31/'4-AdditionalInputs'!$C$31/12/12)+('4-AdditionalInputs'!$R$32/'4-AdditionalInputs'!$C$32/12/12)+('4-AdditionalInputs'!$R$33/'4-AdditionalInputs'!$C$33/12/12)+('4-AdditionalInputs'!$R$34/'4-AdditionalInputs'!$C$34/12/12)</f>
        <v>0</v>
      </c>
      <c r="N126" s="38">
        <f>('4-AdditionalInputs'!$R$29/'4-AdditionalInputs'!$C$29/12/12)+('4-AdditionalInputs'!$R$30/'4-AdditionalInputs'!$C$30/12/12)+('4-AdditionalInputs'!$R$31/'4-AdditionalInputs'!$C$31/12/12)+('4-AdditionalInputs'!$R$32/'4-AdditionalInputs'!$C$32/12/12)+('4-AdditionalInputs'!$R$33/'4-AdditionalInputs'!$C$33/12/12)+('4-AdditionalInputs'!$R$34/'4-AdditionalInputs'!$C$34/12/12)</f>
        <v>0</v>
      </c>
      <c r="O126" s="38"/>
      <c r="P126" s="5"/>
      <c r="Q126" s="5"/>
    </row>
    <row r="127" spans="2:17" x14ac:dyDescent="0.15">
      <c r="B127" s="41" t="s">
        <v>317</v>
      </c>
      <c r="C127" s="39">
        <f>SUM(C125:C126)</f>
        <v>0</v>
      </c>
      <c r="D127" s="39">
        <f t="shared" ref="D127:N127" si="21">SUM(D125:D126)</f>
        <v>0</v>
      </c>
      <c r="E127" s="39">
        <f t="shared" si="21"/>
        <v>0</v>
      </c>
      <c r="F127" s="39">
        <f t="shared" si="21"/>
        <v>0</v>
      </c>
      <c r="G127" s="39">
        <f t="shared" si="21"/>
        <v>0</v>
      </c>
      <c r="H127" s="39">
        <f t="shared" si="21"/>
        <v>0</v>
      </c>
      <c r="I127" s="39">
        <f t="shared" si="21"/>
        <v>0</v>
      </c>
      <c r="J127" s="39">
        <f t="shared" si="21"/>
        <v>0</v>
      </c>
      <c r="K127" s="39">
        <f t="shared" si="21"/>
        <v>0</v>
      </c>
      <c r="L127" s="39">
        <f t="shared" si="21"/>
        <v>0</v>
      </c>
      <c r="M127" s="39">
        <f t="shared" si="21"/>
        <v>0</v>
      </c>
      <c r="N127" s="39">
        <f t="shared" si="21"/>
        <v>0</v>
      </c>
      <c r="O127" s="298">
        <f t="shared" si="17"/>
        <v>0</v>
      </c>
      <c r="P127" s="5"/>
      <c r="Q127" s="5"/>
    </row>
    <row r="128" spans="2:17" x14ac:dyDescent="0.15">
      <c r="B128" s="5"/>
      <c r="C128" s="5"/>
      <c r="D128" s="5"/>
      <c r="E128" s="5"/>
      <c r="F128" s="5"/>
      <c r="G128" s="5"/>
      <c r="H128" s="5"/>
      <c r="I128" s="5"/>
      <c r="J128" s="5"/>
      <c r="K128" s="5"/>
      <c r="L128" s="5"/>
      <c r="M128" s="5"/>
      <c r="N128" s="5"/>
      <c r="O128" s="5"/>
      <c r="P128" s="5"/>
      <c r="Q128" s="5"/>
    </row>
    <row r="129" spans="2:17" x14ac:dyDescent="0.15">
      <c r="B129" s="5"/>
      <c r="C129" s="5"/>
      <c r="D129" s="5"/>
      <c r="E129" s="5"/>
      <c r="F129" s="5"/>
      <c r="G129" s="5"/>
      <c r="H129" s="5"/>
      <c r="I129" s="5"/>
      <c r="J129" s="5"/>
      <c r="K129" s="5"/>
      <c r="L129" s="5"/>
      <c r="M129" s="5"/>
      <c r="N129" s="5"/>
      <c r="O129" s="5"/>
      <c r="P129" s="5"/>
      <c r="Q129" s="5"/>
    </row>
    <row r="130" spans="2:17" x14ac:dyDescent="0.15">
      <c r="B130" s="5"/>
      <c r="C130" s="5"/>
      <c r="D130" s="5"/>
      <c r="E130" s="5"/>
      <c r="F130" s="5"/>
      <c r="G130" s="5"/>
      <c r="H130" s="5"/>
      <c r="I130" s="5"/>
      <c r="J130" s="5"/>
      <c r="K130" s="5"/>
      <c r="L130" s="5"/>
      <c r="M130" s="5"/>
      <c r="N130" s="5"/>
      <c r="O130" s="5"/>
      <c r="P130" s="5"/>
      <c r="Q130" s="5"/>
    </row>
    <row r="131" spans="2:17" ht="14" thickBot="1" x14ac:dyDescent="0.2">
      <c r="B131" s="326" t="s">
        <v>245</v>
      </c>
      <c r="C131" s="326"/>
      <c r="D131" s="326" t="s">
        <v>211</v>
      </c>
      <c r="E131" s="5"/>
      <c r="F131" s="5"/>
      <c r="G131" s="5"/>
      <c r="H131" s="5"/>
      <c r="I131" s="5"/>
      <c r="J131" s="5"/>
      <c r="K131" s="5"/>
      <c r="L131" s="5"/>
      <c r="M131" s="5"/>
      <c r="N131" s="5"/>
      <c r="O131" s="5"/>
      <c r="P131" s="5"/>
      <c r="Q131" s="5"/>
    </row>
    <row r="132" spans="2:17" ht="13" thickTop="1" x14ac:dyDescent="0.15">
      <c r="B132" s="303" t="s">
        <v>249</v>
      </c>
      <c r="C132" s="304">
        <f>TotalOperatingCapital-Working_Capital-Inventory-OtherStartUp</f>
        <v>0</v>
      </c>
      <c r="D132" s="303"/>
      <c r="E132" s="5"/>
      <c r="F132" s="5"/>
      <c r="G132" s="5"/>
      <c r="H132" s="5"/>
      <c r="I132" s="5"/>
      <c r="J132" s="5"/>
      <c r="K132" s="5"/>
      <c r="L132" s="5"/>
      <c r="M132" s="5"/>
      <c r="N132" s="5"/>
      <c r="O132" s="5"/>
      <c r="P132" s="5"/>
      <c r="Q132" s="5"/>
    </row>
    <row r="133" spans="2:17" x14ac:dyDescent="0.15">
      <c r="B133" s="7" t="s">
        <v>274</v>
      </c>
      <c r="C133" s="57">
        <f>IF('4-AdditionalInputs'!C44=0,0,'Amortization&amp;Depreciation'!C132/'4-AdditionalInputs'!C44)</f>
        <v>0</v>
      </c>
      <c r="D133" s="229">
        <f>+C133/12</f>
        <v>0</v>
      </c>
      <c r="E133" s="5"/>
      <c r="F133" s="5"/>
      <c r="G133" s="5"/>
      <c r="H133" s="5"/>
      <c r="I133" s="5"/>
      <c r="J133" s="5"/>
      <c r="K133" s="5"/>
      <c r="L133" s="5"/>
      <c r="M133" s="5"/>
      <c r="N133" s="5"/>
      <c r="O133" s="5"/>
      <c r="P133" s="5"/>
      <c r="Q133" s="5"/>
    </row>
    <row r="134" spans="2:17" x14ac:dyDescent="0.15">
      <c r="B134" s="7" t="s">
        <v>273</v>
      </c>
      <c r="C134" s="57">
        <f>+OtherStartUp</f>
        <v>0</v>
      </c>
      <c r="D134" s="7"/>
      <c r="E134" s="5"/>
      <c r="F134" s="5"/>
      <c r="G134" s="5"/>
      <c r="H134" s="5"/>
      <c r="I134" s="5"/>
      <c r="J134" s="5"/>
      <c r="K134" s="5"/>
      <c r="L134" s="5"/>
      <c r="M134" s="5"/>
      <c r="N134" s="5"/>
      <c r="O134" s="5"/>
      <c r="P134" s="5"/>
      <c r="Q134" s="5"/>
    </row>
    <row r="135" spans="2:17" x14ac:dyDescent="0.15">
      <c r="B135" s="7" t="s">
        <v>274</v>
      </c>
      <c r="C135" s="57">
        <f>IF('4-AdditionalInputs'!C44=0,0,C134/'4-AdditionalInputs'!C44)</f>
        <v>0</v>
      </c>
      <c r="D135" s="229">
        <f>+C135/12</f>
        <v>0</v>
      </c>
      <c r="E135" s="5"/>
      <c r="F135" s="5"/>
      <c r="G135" s="5"/>
      <c r="H135" s="5"/>
      <c r="I135" s="5"/>
      <c r="J135" s="5"/>
      <c r="K135" s="5"/>
      <c r="L135" s="5"/>
      <c r="M135" s="5"/>
      <c r="N135" s="5"/>
      <c r="O135" s="5"/>
      <c r="P135" s="5"/>
      <c r="Q135" s="5"/>
    </row>
    <row r="136" spans="2:17" x14ac:dyDescent="0.15">
      <c r="B136" s="24" t="s">
        <v>249</v>
      </c>
      <c r="C136" s="40" t="str">
        <f>SalesForecastYear1!$C$23</f>
        <v xml:space="preserve"> Aug</v>
      </c>
      <c r="D136" s="40" t="str">
        <f>SalesForecastYear1!$D$23</f>
        <v>Sep</v>
      </c>
      <c r="E136" s="40" t="str">
        <f>SalesForecastYear1!$E$23</f>
        <v>Oct</v>
      </c>
      <c r="F136" s="40" t="str">
        <f>SalesForecastYear1!$F$23</f>
        <v>Nov</v>
      </c>
      <c r="G136" s="40" t="str">
        <f>SalesForecastYear1!$G$23</f>
        <v>Dec</v>
      </c>
      <c r="H136" s="40" t="str">
        <f>SalesForecastYear1!$H$23</f>
        <v>Jan</v>
      </c>
      <c r="I136" s="40" t="str">
        <f>SalesForecastYear1!$I$23</f>
        <v>Feb</v>
      </c>
      <c r="J136" s="40" t="str">
        <f>SalesForecastYear1!$J$23</f>
        <v>Mar</v>
      </c>
      <c r="K136" s="40" t="str">
        <f>SalesForecastYear1!$K$23</f>
        <v>Apr</v>
      </c>
      <c r="L136" s="40" t="str">
        <f>SalesForecastYear1!$L$23</f>
        <v>May</v>
      </c>
      <c r="M136" s="40" t="str">
        <f>SalesForecastYear1!$M$23</f>
        <v>Jun</v>
      </c>
      <c r="N136" s="40" t="str">
        <f>SalesForecastYear1!$N$23</f>
        <v>Jul</v>
      </c>
      <c r="O136" s="40" t="s">
        <v>8</v>
      </c>
      <c r="P136" s="5"/>
      <c r="Q136" s="5"/>
    </row>
    <row r="137" spans="2:17" x14ac:dyDescent="0.15">
      <c r="B137" s="24" t="s">
        <v>156</v>
      </c>
      <c r="C137" s="28"/>
      <c r="D137" s="28"/>
      <c r="E137" s="28"/>
      <c r="F137" s="28"/>
      <c r="G137" s="28"/>
      <c r="H137" s="28"/>
      <c r="I137" s="28"/>
      <c r="J137" s="28"/>
      <c r="K137" s="28"/>
      <c r="L137" s="28"/>
      <c r="M137" s="28"/>
      <c r="N137" s="28"/>
      <c r="O137" s="28"/>
      <c r="P137" s="5"/>
      <c r="Q137" s="5"/>
    </row>
    <row r="138" spans="2:17" x14ac:dyDescent="0.15">
      <c r="B138" s="41" t="s">
        <v>275</v>
      </c>
      <c r="C138" s="38">
        <f>+D133</f>
        <v>0</v>
      </c>
      <c r="D138" s="38">
        <f>IF(C139&lt;$C$132,$D$133,0)</f>
        <v>0</v>
      </c>
      <c r="E138" s="38">
        <f t="shared" ref="E138:N138" si="22">IF(D139&lt;$C$132,$D$133,0)</f>
        <v>0</v>
      </c>
      <c r="F138" s="38">
        <f t="shared" si="22"/>
        <v>0</v>
      </c>
      <c r="G138" s="38">
        <f t="shared" si="22"/>
        <v>0</v>
      </c>
      <c r="H138" s="38">
        <f t="shared" si="22"/>
        <v>0</v>
      </c>
      <c r="I138" s="38">
        <f t="shared" si="22"/>
        <v>0</v>
      </c>
      <c r="J138" s="38">
        <f t="shared" si="22"/>
        <v>0</v>
      </c>
      <c r="K138" s="38">
        <f t="shared" si="22"/>
        <v>0</v>
      </c>
      <c r="L138" s="38">
        <f t="shared" si="22"/>
        <v>0</v>
      </c>
      <c r="M138" s="38">
        <f t="shared" si="22"/>
        <v>0</v>
      </c>
      <c r="N138" s="38">
        <f t="shared" si="22"/>
        <v>0</v>
      </c>
      <c r="O138" s="298">
        <f>SUM(C138:N138)</f>
        <v>0</v>
      </c>
      <c r="P138" s="5"/>
      <c r="Q138" s="5"/>
    </row>
    <row r="139" spans="2:17" x14ac:dyDescent="0.15">
      <c r="B139" s="41" t="s">
        <v>318</v>
      </c>
      <c r="C139" s="39">
        <f>+C138</f>
        <v>0</v>
      </c>
      <c r="D139" s="39">
        <f>+D138+C139</f>
        <v>0</v>
      </c>
      <c r="E139" s="39">
        <f t="shared" ref="E139:N139" si="23">+E138+D139</f>
        <v>0</v>
      </c>
      <c r="F139" s="39">
        <f t="shared" si="23"/>
        <v>0</v>
      </c>
      <c r="G139" s="39">
        <f t="shared" si="23"/>
        <v>0</v>
      </c>
      <c r="H139" s="39">
        <f t="shared" si="23"/>
        <v>0</v>
      </c>
      <c r="I139" s="39">
        <f t="shared" si="23"/>
        <v>0</v>
      </c>
      <c r="J139" s="39">
        <f t="shared" si="23"/>
        <v>0</v>
      </c>
      <c r="K139" s="39">
        <f t="shared" si="23"/>
        <v>0</v>
      </c>
      <c r="L139" s="39">
        <f t="shared" si="23"/>
        <v>0</v>
      </c>
      <c r="M139" s="39">
        <f t="shared" si="23"/>
        <v>0</v>
      </c>
      <c r="N139" s="39">
        <f t="shared" si="23"/>
        <v>0</v>
      </c>
      <c r="O139" s="38"/>
      <c r="P139" s="5"/>
      <c r="Q139" s="5"/>
    </row>
    <row r="140" spans="2:17" x14ac:dyDescent="0.15">
      <c r="B140" s="24" t="s">
        <v>159</v>
      </c>
      <c r="C140" s="28"/>
      <c r="D140" s="28"/>
      <c r="E140" s="28"/>
      <c r="F140" s="28"/>
      <c r="G140" s="28"/>
      <c r="H140" s="28"/>
      <c r="I140" s="28"/>
      <c r="J140" s="28"/>
      <c r="K140" s="28"/>
      <c r="L140" s="28"/>
      <c r="M140" s="28"/>
      <c r="N140" s="28"/>
      <c r="O140" s="38"/>
      <c r="P140" s="5"/>
      <c r="Q140" s="5"/>
    </row>
    <row r="141" spans="2:17" x14ac:dyDescent="0.15">
      <c r="B141" s="41" t="s">
        <v>275</v>
      </c>
      <c r="C141" s="38">
        <f>IF(N139&lt;$C$132,$D$133,0)</f>
        <v>0</v>
      </c>
      <c r="D141" s="38">
        <f t="shared" ref="D141:N141" si="24">IF(C142&lt;$C$132,$D$133,0)</f>
        <v>0</v>
      </c>
      <c r="E141" s="38">
        <f t="shared" si="24"/>
        <v>0</v>
      </c>
      <c r="F141" s="38">
        <f t="shared" si="24"/>
        <v>0</v>
      </c>
      <c r="G141" s="38">
        <f t="shared" si="24"/>
        <v>0</v>
      </c>
      <c r="H141" s="38">
        <f t="shared" si="24"/>
        <v>0</v>
      </c>
      <c r="I141" s="38">
        <f t="shared" si="24"/>
        <v>0</v>
      </c>
      <c r="J141" s="38">
        <f t="shared" si="24"/>
        <v>0</v>
      </c>
      <c r="K141" s="38">
        <f t="shared" si="24"/>
        <v>0</v>
      </c>
      <c r="L141" s="38">
        <f t="shared" si="24"/>
        <v>0</v>
      </c>
      <c r="M141" s="38">
        <f t="shared" si="24"/>
        <v>0</v>
      </c>
      <c r="N141" s="38">
        <f t="shared" si="24"/>
        <v>0</v>
      </c>
      <c r="O141" s="298">
        <f t="shared" ref="O141" si="25">SUM(C141:N141)</f>
        <v>0</v>
      </c>
      <c r="P141" s="5"/>
      <c r="Q141" s="5"/>
    </row>
    <row r="142" spans="2:17" x14ac:dyDescent="0.15">
      <c r="B142" s="41" t="s">
        <v>318</v>
      </c>
      <c r="C142" s="39">
        <f>+C141+N139</f>
        <v>0</v>
      </c>
      <c r="D142" s="39">
        <f t="shared" ref="D142:N142" si="26">+D141+C142</f>
        <v>0</v>
      </c>
      <c r="E142" s="39">
        <f t="shared" si="26"/>
        <v>0</v>
      </c>
      <c r="F142" s="39">
        <f t="shared" si="26"/>
        <v>0</v>
      </c>
      <c r="G142" s="39">
        <f t="shared" si="26"/>
        <v>0</v>
      </c>
      <c r="H142" s="39">
        <f t="shared" si="26"/>
        <v>0</v>
      </c>
      <c r="I142" s="39">
        <f t="shared" si="26"/>
        <v>0</v>
      </c>
      <c r="J142" s="39">
        <f t="shared" si="26"/>
        <v>0</v>
      </c>
      <c r="K142" s="39">
        <f t="shared" si="26"/>
        <v>0</v>
      </c>
      <c r="L142" s="39">
        <f t="shared" si="26"/>
        <v>0</v>
      </c>
      <c r="M142" s="39">
        <f t="shared" si="26"/>
        <v>0</v>
      </c>
      <c r="N142" s="39">
        <f t="shared" si="26"/>
        <v>0</v>
      </c>
      <c r="O142" s="38"/>
      <c r="P142" s="5"/>
      <c r="Q142" s="5"/>
    </row>
    <row r="143" spans="2:17" x14ac:dyDescent="0.15">
      <c r="B143" s="24" t="s">
        <v>160</v>
      </c>
      <c r="C143" s="28"/>
      <c r="D143" s="28"/>
      <c r="E143" s="28"/>
      <c r="F143" s="28"/>
      <c r="G143" s="28"/>
      <c r="H143" s="28"/>
      <c r="I143" s="28"/>
      <c r="J143" s="28"/>
      <c r="K143" s="28"/>
      <c r="L143" s="28"/>
      <c r="M143" s="28"/>
      <c r="N143" s="28"/>
      <c r="O143" s="38"/>
      <c r="P143" s="5"/>
      <c r="Q143" s="5"/>
    </row>
    <row r="144" spans="2:17" x14ac:dyDescent="0.15">
      <c r="B144" s="41" t="s">
        <v>275</v>
      </c>
      <c r="C144" s="38">
        <f>IF(N142&lt;$C$132,$D$133,0)</f>
        <v>0</v>
      </c>
      <c r="D144" s="38">
        <f t="shared" ref="D144:N144" si="27">IF(C145&lt;$C$132,$D$133,0)</f>
        <v>0</v>
      </c>
      <c r="E144" s="38">
        <f t="shared" si="27"/>
        <v>0</v>
      </c>
      <c r="F144" s="38">
        <f t="shared" si="27"/>
        <v>0</v>
      </c>
      <c r="G144" s="38">
        <f t="shared" si="27"/>
        <v>0</v>
      </c>
      <c r="H144" s="38">
        <f t="shared" si="27"/>
        <v>0</v>
      </c>
      <c r="I144" s="38">
        <f t="shared" si="27"/>
        <v>0</v>
      </c>
      <c r="J144" s="38">
        <f t="shared" si="27"/>
        <v>0</v>
      </c>
      <c r="K144" s="38">
        <f t="shared" si="27"/>
        <v>0</v>
      </c>
      <c r="L144" s="38">
        <f t="shared" si="27"/>
        <v>0</v>
      </c>
      <c r="M144" s="38">
        <f t="shared" si="27"/>
        <v>0</v>
      </c>
      <c r="N144" s="38">
        <f t="shared" si="27"/>
        <v>0</v>
      </c>
      <c r="O144" s="298">
        <f t="shared" ref="O144" si="28">SUM(C144:N144)</f>
        <v>0</v>
      </c>
      <c r="P144" s="5"/>
      <c r="Q144" s="5"/>
    </row>
    <row r="145" spans="2:17" x14ac:dyDescent="0.15">
      <c r="B145" s="41" t="s">
        <v>318</v>
      </c>
      <c r="C145" s="39">
        <f>+C144+N142</f>
        <v>0</v>
      </c>
      <c r="D145" s="39">
        <f t="shared" ref="D145" si="29">+D144+C145</f>
        <v>0</v>
      </c>
      <c r="E145" s="39">
        <f t="shared" ref="E145" si="30">+E144+D145</f>
        <v>0</v>
      </c>
      <c r="F145" s="39">
        <f t="shared" ref="F145" si="31">+F144+E145</f>
        <v>0</v>
      </c>
      <c r="G145" s="39">
        <f t="shared" ref="G145" si="32">+G144+F145</f>
        <v>0</v>
      </c>
      <c r="H145" s="39">
        <f t="shared" ref="H145" si="33">+H144+G145</f>
        <v>0</v>
      </c>
      <c r="I145" s="39">
        <f t="shared" ref="I145" si="34">+I144+H145</f>
        <v>0</v>
      </c>
      <c r="J145" s="39">
        <f t="shared" ref="J145" si="35">+J144+I145</f>
        <v>0</v>
      </c>
      <c r="K145" s="39">
        <f t="shared" ref="K145" si="36">+K144+J145</f>
        <v>0</v>
      </c>
      <c r="L145" s="39">
        <f t="shared" ref="L145" si="37">+L144+K145</f>
        <v>0</v>
      </c>
      <c r="M145" s="39">
        <f t="shared" ref="M145" si="38">+M144+L145</f>
        <v>0</v>
      </c>
      <c r="N145" s="39">
        <f t="shared" ref="N145" si="39">+N144+M145</f>
        <v>0</v>
      </c>
      <c r="O145" s="38"/>
      <c r="P145" s="5"/>
      <c r="Q145" s="5"/>
    </row>
    <row r="146" spans="2:17" x14ac:dyDescent="0.15">
      <c r="B146" s="5"/>
      <c r="C146" s="5"/>
      <c r="D146" s="5"/>
      <c r="E146" s="5"/>
      <c r="F146" s="5"/>
      <c r="G146" s="5"/>
      <c r="H146" s="5"/>
      <c r="I146" s="5"/>
      <c r="J146" s="5"/>
      <c r="K146" s="5"/>
      <c r="L146" s="5"/>
      <c r="M146" s="5"/>
      <c r="N146" s="5"/>
      <c r="O146" s="5"/>
      <c r="P146" s="5"/>
      <c r="Q146" s="5"/>
    </row>
    <row r="147" spans="2:17" ht="14" thickBot="1" x14ac:dyDescent="0.2">
      <c r="B147" s="326" t="s">
        <v>273</v>
      </c>
      <c r="C147" s="326" t="str">
        <f>SalesForecastYear1!$C$23</f>
        <v xml:space="preserve"> Aug</v>
      </c>
      <c r="D147" s="326" t="str">
        <f>SalesForecastYear1!$D$23</f>
        <v>Sep</v>
      </c>
      <c r="E147" s="326" t="str">
        <f>SalesForecastYear1!$E$23</f>
        <v>Oct</v>
      </c>
      <c r="F147" s="326" t="str">
        <f>SalesForecastYear1!$F$23</f>
        <v>Nov</v>
      </c>
      <c r="G147" s="326" t="str">
        <f>SalesForecastYear1!$G$23</f>
        <v>Dec</v>
      </c>
      <c r="H147" s="326" t="str">
        <f>SalesForecastYear1!$H$23</f>
        <v>Jan</v>
      </c>
      <c r="I147" s="326" t="str">
        <f>SalesForecastYear1!$I$23</f>
        <v>Feb</v>
      </c>
      <c r="J147" s="326" t="str">
        <f>SalesForecastYear1!$J$23</f>
        <v>Mar</v>
      </c>
      <c r="K147" s="326" t="str">
        <f>SalesForecastYear1!$K$23</f>
        <v>Apr</v>
      </c>
      <c r="L147" s="326" t="str">
        <f>SalesForecastYear1!$L$23</f>
        <v>May</v>
      </c>
      <c r="M147" s="326" t="str">
        <f>SalesForecastYear1!$M$23</f>
        <v>Jun</v>
      </c>
      <c r="N147" s="326" t="str">
        <f>SalesForecastYear1!$N$23</f>
        <v>Jul</v>
      </c>
      <c r="O147" s="326" t="s">
        <v>8</v>
      </c>
      <c r="P147" s="5"/>
      <c r="Q147" s="5"/>
    </row>
    <row r="148" spans="2:17" ht="13" thickTop="1" x14ac:dyDescent="0.15">
      <c r="B148" s="142" t="s">
        <v>156</v>
      </c>
      <c r="C148" s="325"/>
      <c r="D148" s="325"/>
      <c r="E148" s="325"/>
      <c r="F148" s="325"/>
      <c r="G148" s="325"/>
      <c r="H148" s="325"/>
      <c r="I148" s="325"/>
      <c r="J148" s="325"/>
      <c r="K148" s="325"/>
      <c r="L148" s="325"/>
      <c r="M148" s="325"/>
      <c r="N148" s="325"/>
      <c r="O148" s="325"/>
      <c r="P148" s="5"/>
      <c r="Q148" s="5"/>
    </row>
    <row r="149" spans="2:17" x14ac:dyDescent="0.15">
      <c r="B149" s="41" t="s">
        <v>275</v>
      </c>
      <c r="C149" s="38">
        <f>+D135</f>
        <v>0</v>
      </c>
      <c r="D149" s="38">
        <f>IF(C150&lt;$C$134,$D$135,0)</f>
        <v>0</v>
      </c>
      <c r="E149" s="38">
        <f t="shared" ref="E149:N149" si="40">IF(D150&lt;$C$134,$D$135,0)</f>
        <v>0</v>
      </c>
      <c r="F149" s="38">
        <f t="shared" si="40"/>
        <v>0</v>
      </c>
      <c r="G149" s="38">
        <f t="shared" si="40"/>
        <v>0</v>
      </c>
      <c r="H149" s="38">
        <f t="shared" si="40"/>
        <v>0</v>
      </c>
      <c r="I149" s="38">
        <f t="shared" si="40"/>
        <v>0</v>
      </c>
      <c r="J149" s="38">
        <f t="shared" si="40"/>
        <v>0</v>
      </c>
      <c r="K149" s="38">
        <f t="shared" si="40"/>
        <v>0</v>
      </c>
      <c r="L149" s="38">
        <f t="shared" si="40"/>
        <v>0</v>
      </c>
      <c r="M149" s="38">
        <f t="shared" si="40"/>
        <v>0</v>
      </c>
      <c r="N149" s="38">
        <f t="shared" si="40"/>
        <v>0</v>
      </c>
      <c r="O149" s="298">
        <f>SUM(C149:N149)</f>
        <v>0</v>
      </c>
      <c r="P149" s="5"/>
      <c r="Q149" s="5"/>
    </row>
    <row r="150" spans="2:17" x14ac:dyDescent="0.15">
      <c r="B150" s="41" t="s">
        <v>318</v>
      </c>
      <c r="C150" s="39">
        <f>+C149</f>
        <v>0</v>
      </c>
      <c r="D150" s="39">
        <f>+D149+C150</f>
        <v>0</v>
      </c>
      <c r="E150" s="39">
        <f t="shared" ref="E150:N150" si="41">+E149+D150</f>
        <v>0</v>
      </c>
      <c r="F150" s="39">
        <f t="shared" si="41"/>
        <v>0</v>
      </c>
      <c r="G150" s="39">
        <f t="shared" si="41"/>
        <v>0</v>
      </c>
      <c r="H150" s="39">
        <f t="shared" si="41"/>
        <v>0</v>
      </c>
      <c r="I150" s="39">
        <f t="shared" si="41"/>
        <v>0</v>
      </c>
      <c r="J150" s="39">
        <f t="shared" si="41"/>
        <v>0</v>
      </c>
      <c r="K150" s="39">
        <f t="shared" si="41"/>
        <v>0</v>
      </c>
      <c r="L150" s="39">
        <f t="shared" si="41"/>
        <v>0</v>
      </c>
      <c r="M150" s="39">
        <f t="shared" si="41"/>
        <v>0</v>
      </c>
      <c r="N150" s="39">
        <f t="shared" si="41"/>
        <v>0</v>
      </c>
      <c r="O150" s="38"/>
      <c r="P150" s="5"/>
      <c r="Q150" s="5"/>
    </row>
    <row r="151" spans="2:17" x14ac:dyDescent="0.15">
      <c r="B151" s="24" t="s">
        <v>159</v>
      </c>
      <c r="C151" s="28"/>
      <c r="D151" s="28"/>
      <c r="E151" s="28"/>
      <c r="F151" s="28"/>
      <c r="G151" s="28"/>
      <c r="H151" s="28"/>
      <c r="I151" s="28"/>
      <c r="J151" s="28"/>
      <c r="K151" s="28"/>
      <c r="L151" s="28"/>
      <c r="M151" s="28"/>
      <c r="N151" s="28"/>
      <c r="O151" s="38"/>
      <c r="P151" s="5"/>
      <c r="Q151" s="5"/>
    </row>
    <row r="152" spans="2:17" x14ac:dyDescent="0.15">
      <c r="B152" s="41" t="s">
        <v>230</v>
      </c>
      <c r="C152" s="38">
        <f>IF(N150&lt;$C$134,$D$135,0)</f>
        <v>0</v>
      </c>
      <c r="D152" s="38">
        <f>IF(C153&lt;$C$134,$D$135,0)</f>
        <v>0</v>
      </c>
      <c r="E152" s="38">
        <f t="shared" ref="E152:N152" si="42">IF(D153&lt;$C$134,$D$135,0)</f>
        <v>0</v>
      </c>
      <c r="F152" s="38">
        <f t="shared" si="42"/>
        <v>0</v>
      </c>
      <c r="G152" s="38">
        <f t="shared" si="42"/>
        <v>0</v>
      </c>
      <c r="H152" s="38">
        <f t="shared" si="42"/>
        <v>0</v>
      </c>
      <c r="I152" s="38">
        <f t="shared" si="42"/>
        <v>0</v>
      </c>
      <c r="J152" s="38">
        <f t="shared" si="42"/>
        <v>0</v>
      </c>
      <c r="K152" s="38">
        <f t="shared" si="42"/>
        <v>0</v>
      </c>
      <c r="L152" s="38">
        <f t="shared" si="42"/>
        <v>0</v>
      </c>
      <c r="M152" s="38">
        <f t="shared" si="42"/>
        <v>0</v>
      </c>
      <c r="N152" s="38">
        <f t="shared" si="42"/>
        <v>0</v>
      </c>
      <c r="O152" s="298">
        <f t="shared" ref="O152" si="43">SUM(C152:N152)</f>
        <v>0</v>
      </c>
      <c r="P152" s="5"/>
      <c r="Q152" s="5"/>
    </row>
    <row r="153" spans="2:17" x14ac:dyDescent="0.15">
      <c r="B153" s="41" t="s">
        <v>232</v>
      </c>
      <c r="C153" s="39">
        <f>+C152+N150</f>
        <v>0</v>
      </c>
      <c r="D153" s="39">
        <f>+D152+C153</f>
        <v>0</v>
      </c>
      <c r="E153" s="39">
        <f t="shared" ref="E153" si="44">+E152+D153</f>
        <v>0</v>
      </c>
      <c r="F153" s="39">
        <f t="shared" ref="F153" si="45">+F152+E153</f>
        <v>0</v>
      </c>
      <c r="G153" s="39">
        <f t="shared" ref="G153" si="46">+G152+F153</f>
        <v>0</v>
      </c>
      <c r="H153" s="39">
        <f t="shared" ref="H153" si="47">+H152+G153</f>
        <v>0</v>
      </c>
      <c r="I153" s="39">
        <f t="shared" ref="I153" si="48">+I152+H153</f>
        <v>0</v>
      </c>
      <c r="J153" s="39">
        <f t="shared" ref="J153" si="49">+J152+I153</f>
        <v>0</v>
      </c>
      <c r="K153" s="39">
        <f t="shared" ref="K153" si="50">+K152+J153</f>
        <v>0</v>
      </c>
      <c r="L153" s="39">
        <f t="shared" ref="L153" si="51">+L152+K153</f>
        <v>0</v>
      </c>
      <c r="M153" s="39">
        <f t="shared" ref="M153" si="52">+M152+L153</f>
        <v>0</v>
      </c>
      <c r="N153" s="39">
        <f t="shared" ref="N153" si="53">+N152+M153</f>
        <v>0</v>
      </c>
      <c r="O153" s="38"/>
      <c r="P153" s="5"/>
      <c r="Q153" s="5"/>
    </row>
    <row r="154" spans="2:17" x14ac:dyDescent="0.15">
      <c r="B154" s="24" t="s">
        <v>160</v>
      </c>
      <c r="C154" s="28"/>
      <c r="D154" s="28"/>
      <c r="E154" s="28"/>
      <c r="F154" s="28"/>
      <c r="G154" s="28"/>
      <c r="H154" s="28"/>
      <c r="I154" s="28"/>
      <c r="J154" s="28"/>
      <c r="K154" s="28"/>
      <c r="L154" s="28"/>
      <c r="M154" s="28"/>
      <c r="N154" s="28"/>
      <c r="O154" s="38"/>
      <c r="P154" s="5"/>
      <c r="Q154" s="5"/>
    </row>
    <row r="155" spans="2:17" x14ac:dyDescent="0.15">
      <c r="B155" s="41" t="s">
        <v>230</v>
      </c>
      <c r="C155" s="38">
        <f>IF(N153&lt;$C$134,$D$135,0)</f>
        <v>0</v>
      </c>
      <c r="D155" s="38">
        <f>IF(C156&lt;$C$134,$D$135,0)</f>
        <v>0</v>
      </c>
      <c r="E155" s="38">
        <f t="shared" ref="E155:N155" si="54">IF(D156&lt;$C$134,$D$135,0)</f>
        <v>0</v>
      </c>
      <c r="F155" s="38">
        <f t="shared" si="54"/>
        <v>0</v>
      </c>
      <c r="G155" s="38">
        <f t="shared" si="54"/>
        <v>0</v>
      </c>
      <c r="H155" s="38">
        <f t="shared" si="54"/>
        <v>0</v>
      </c>
      <c r="I155" s="38">
        <f t="shared" si="54"/>
        <v>0</v>
      </c>
      <c r="J155" s="38">
        <f t="shared" si="54"/>
        <v>0</v>
      </c>
      <c r="K155" s="38">
        <f t="shared" si="54"/>
        <v>0</v>
      </c>
      <c r="L155" s="38">
        <f t="shared" si="54"/>
        <v>0</v>
      </c>
      <c r="M155" s="38">
        <f t="shared" si="54"/>
        <v>0</v>
      </c>
      <c r="N155" s="38">
        <f t="shared" si="54"/>
        <v>0</v>
      </c>
      <c r="O155" s="298">
        <f t="shared" ref="O155" si="55">SUM(C155:N155)</f>
        <v>0</v>
      </c>
      <c r="P155" s="5"/>
      <c r="Q155" s="5"/>
    </row>
    <row r="156" spans="2:17" x14ac:dyDescent="0.15">
      <c r="B156" s="41" t="s">
        <v>317</v>
      </c>
      <c r="C156" s="39">
        <f>+C155+N153</f>
        <v>0</v>
      </c>
      <c r="D156" s="39">
        <f>+D155+C156</f>
        <v>0</v>
      </c>
      <c r="E156" s="39">
        <f t="shared" ref="E156" si="56">+E155+D156</f>
        <v>0</v>
      </c>
      <c r="F156" s="39">
        <f t="shared" ref="F156" si="57">+F155+E156</f>
        <v>0</v>
      </c>
      <c r="G156" s="39">
        <f t="shared" ref="G156" si="58">+G155+F156</f>
        <v>0</v>
      </c>
      <c r="H156" s="39">
        <f t="shared" ref="H156" si="59">+H155+G156</f>
        <v>0</v>
      </c>
      <c r="I156" s="39">
        <f t="shared" ref="I156" si="60">+I155+H156</f>
        <v>0</v>
      </c>
      <c r="J156" s="39">
        <f t="shared" ref="J156" si="61">+J155+I156</f>
        <v>0</v>
      </c>
      <c r="K156" s="39">
        <f t="shared" ref="K156" si="62">+K155+J156</f>
        <v>0</v>
      </c>
      <c r="L156" s="39">
        <f t="shared" ref="L156" si="63">+L155+K156</f>
        <v>0</v>
      </c>
      <c r="M156" s="39">
        <f t="shared" ref="M156" si="64">+M155+L156</f>
        <v>0</v>
      </c>
      <c r="N156" s="39">
        <f t="shared" ref="N156" si="65">+N155+M156</f>
        <v>0</v>
      </c>
      <c r="O156" s="38"/>
      <c r="P156" s="5"/>
      <c r="Q156" s="5"/>
    </row>
    <row r="157" spans="2:17" x14ac:dyDescent="0.15">
      <c r="B157" s="5"/>
      <c r="C157" s="5"/>
      <c r="D157" s="5"/>
      <c r="E157" s="5"/>
      <c r="F157" s="5"/>
      <c r="G157" s="5"/>
      <c r="H157" s="5"/>
      <c r="I157" s="5"/>
      <c r="J157" s="5"/>
      <c r="K157" s="5"/>
      <c r="L157" s="5"/>
      <c r="M157" s="5"/>
      <c r="N157" s="5"/>
      <c r="O157" s="5"/>
      <c r="P157" s="5"/>
      <c r="Q157" s="5"/>
    </row>
    <row r="158" spans="2:17" x14ac:dyDescent="0.15">
      <c r="B158" s="5"/>
      <c r="C158" s="5"/>
      <c r="D158" s="5"/>
      <c r="E158" s="5"/>
      <c r="F158" s="5"/>
      <c r="G158" s="5"/>
      <c r="H158" s="5"/>
      <c r="I158" s="5"/>
      <c r="J158" s="5"/>
      <c r="K158" s="5"/>
      <c r="L158" s="5"/>
      <c r="M158" s="5"/>
      <c r="N158" s="5"/>
      <c r="O158" s="5"/>
      <c r="P158" s="5"/>
      <c r="Q158" s="5"/>
    </row>
    <row r="159" spans="2:17" x14ac:dyDescent="0.15">
      <c r="B159" s="5"/>
      <c r="C159" s="5"/>
      <c r="D159" s="5"/>
      <c r="E159" s="5"/>
      <c r="F159" s="5"/>
      <c r="G159" s="5"/>
      <c r="H159" s="5"/>
      <c r="I159" s="5"/>
      <c r="J159" s="5"/>
      <c r="K159" s="5"/>
      <c r="L159" s="5"/>
      <c r="M159" s="5"/>
      <c r="N159" s="5"/>
      <c r="O159" s="5"/>
      <c r="P159" s="5"/>
      <c r="Q159" s="5"/>
    </row>
  </sheetData>
  <sheetProtection password="CC3D" sheet="1" objects="1" scenarios="1" formatColumns="0" formatRows="0"/>
  <mergeCells count="8">
    <mergeCell ref="B2:E2"/>
    <mergeCell ref="B108:C108"/>
    <mergeCell ref="E4:G6"/>
    <mergeCell ref="B68:C68"/>
    <mergeCell ref="B88:C88"/>
    <mergeCell ref="B8:C8"/>
    <mergeCell ref="B28:C28"/>
    <mergeCell ref="B48:C48"/>
  </mergeCells>
  <phoneticPr fontId="3" type="noConversion"/>
  <hyperlinks>
    <hyperlink ref="E4:G6" location="'1-StartingPoint'!A1" display="Return to Starting Point" xr:uid="{00000000-0004-0000-1300-000000000000}"/>
  </hyperlinks>
  <pageMargins left="0.25" right="0.25" top="0.75" bottom="0.75" header="0.3" footer="0.3"/>
  <pageSetup scale="71" fitToHeight="3" orientation="landscape"/>
  <headerFooter scaleWithDoc="0">
    <oddHeader>&amp;C&amp;"Gill Sans MT,Regular"&amp;12Amortization and Depreciation Schedule</oddHeader>
  </headerFooter>
  <rowBreaks count="3" manualBreakCount="3">
    <brk id="46" min="1" max="14" man="1"/>
    <brk id="86" min="1" max="14" man="1"/>
    <brk id="129" min="1" max="14" man="1"/>
  </rowBreaks>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50"/>
  </sheetPr>
  <dimension ref="A1:J35"/>
  <sheetViews>
    <sheetView zoomScale="133" zoomScaleNormal="226" workbookViewId="0">
      <selection activeCell="A16" sqref="A16"/>
    </sheetView>
  </sheetViews>
  <sheetFormatPr baseColWidth="10" defaultColWidth="8.83203125" defaultRowHeight="15" x14ac:dyDescent="0.2"/>
  <cols>
    <col min="1" max="1" width="41.1640625" customWidth="1"/>
    <col min="2" max="2" width="16.5" customWidth="1"/>
    <col min="3" max="3" width="13" customWidth="1"/>
    <col min="4" max="4" width="11.83203125" customWidth="1"/>
    <col min="12" max="12" width="11" customWidth="1"/>
  </cols>
  <sheetData>
    <row r="1" spans="1:10" ht="21" x14ac:dyDescent="0.25">
      <c r="A1" s="536" t="s">
        <v>448</v>
      </c>
    </row>
    <row r="2" spans="1:10" ht="16" thickBot="1" x14ac:dyDescent="0.25"/>
    <row r="3" spans="1:10" ht="16" thickBot="1" x14ac:dyDescent="0.25">
      <c r="A3" s="518" t="s">
        <v>449</v>
      </c>
      <c r="B3" s="534"/>
      <c r="D3" s="520" t="s">
        <v>451</v>
      </c>
      <c r="E3" s="520"/>
      <c r="F3" s="520"/>
      <c r="G3" s="520"/>
      <c r="H3" s="520"/>
      <c r="I3" s="520"/>
      <c r="J3" s="520"/>
    </row>
    <row r="4" spans="1:10" ht="16" thickBot="1" x14ac:dyDescent="0.25">
      <c r="A4" s="535" t="s">
        <v>434</v>
      </c>
      <c r="B4" s="515">
        <v>210</v>
      </c>
      <c r="D4" s="520"/>
      <c r="E4" s="520" t="s">
        <v>441</v>
      </c>
      <c r="F4" s="520"/>
      <c r="G4" s="520"/>
      <c r="H4" s="520"/>
      <c r="I4" s="520"/>
      <c r="J4" s="520"/>
    </row>
    <row r="5" spans="1:10" ht="16" thickBot="1" x14ac:dyDescent="0.25">
      <c r="A5" s="519"/>
      <c r="D5" s="520" t="s">
        <v>452</v>
      </c>
      <c r="E5" s="520"/>
      <c r="F5" s="521"/>
      <c r="G5" s="520"/>
      <c r="H5" s="520"/>
      <c r="I5" s="520"/>
    </row>
    <row r="6" spans="1:10" ht="16" x14ac:dyDescent="0.2">
      <c r="A6" s="514" t="s">
        <v>442</v>
      </c>
      <c r="B6" s="513" t="s">
        <v>433</v>
      </c>
      <c r="C6" s="513" t="s">
        <v>432</v>
      </c>
    </row>
    <row r="7" spans="1:10" x14ac:dyDescent="0.2">
      <c r="A7" s="512"/>
      <c r="B7" s="507"/>
      <c r="C7" s="508">
        <f t="shared" ref="C7:C13" si="0">B7*4.34</f>
        <v>0</v>
      </c>
      <c r="E7" s="520" t="s">
        <v>453</v>
      </c>
    </row>
    <row r="8" spans="1:10" x14ac:dyDescent="0.2">
      <c r="A8" s="512"/>
      <c r="B8" s="507"/>
      <c r="C8" s="508">
        <f t="shared" si="0"/>
        <v>0</v>
      </c>
    </row>
    <row r="9" spans="1:10" x14ac:dyDescent="0.2">
      <c r="A9" s="512"/>
      <c r="B9" s="507"/>
      <c r="C9" s="508">
        <f t="shared" si="0"/>
        <v>0</v>
      </c>
      <c r="E9" s="520" t="s">
        <v>454</v>
      </c>
    </row>
    <row r="10" spans="1:10" x14ac:dyDescent="0.2">
      <c r="A10" s="512"/>
      <c r="B10" s="507"/>
      <c r="C10" s="508">
        <f t="shared" si="0"/>
        <v>0</v>
      </c>
    </row>
    <row r="11" spans="1:10" x14ac:dyDescent="0.2">
      <c r="A11" s="512"/>
      <c r="B11" s="507"/>
      <c r="C11" s="508">
        <f t="shared" si="0"/>
        <v>0</v>
      </c>
    </row>
    <row r="12" spans="1:10" x14ac:dyDescent="0.2">
      <c r="A12" s="512"/>
      <c r="B12" s="507"/>
      <c r="C12" s="508">
        <f t="shared" si="0"/>
        <v>0</v>
      </c>
    </row>
    <row r="13" spans="1:10" x14ac:dyDescent="0.2">
      <c r="A13" s="512"/>
      <c r="B13" s="507"/>
      <c r="C13" s="508">
        <f t="shared" si="0"/>
        <v>0</v>
      </c>
    </row>
    <row r="14" spans="1:10" x14ac:dyDescent="0.2">
      <c r="A14" s="512"/>
      <c r="B14" s="507"/>
      <c r="C14" s="508">
        <f t="shared" ref="C14:C20" si="1">B14*4.34</f>
        <v>0</v>
      </c>
    </row>
    <row r="15" spans="1:10" x14ac:dyDescent="0.2">
      <c r="A15" s="512"/>
      <c r="B15" s="507"/>
      <c r="C15" s="508">
        <f t="shared" si="1"/>
        <v>0</v>
      </c>
    </row>
    <row r="16" spans="1:10" x14ac:dyDescent="0.2">
      <c r="A16" s="512"/>
      <c r="B16" s="507"/>
      <c r="C16" s="508">
        <f t="shared" si="1"/>
        <v>0</v>
      </c>
    </row>
    <row r="17" spans="1:4" x14ac:dyDescent="0.2">
      <c r="A17" s="512"/>
      <c r="B17" s="507"/>
      <c r="C17" s="508">
        <f t="shared" si="1"/>
        <v>0</v>
      </c>
    </row>
    <row r="18" spans="1:4" x14ac:dyDescent="0.2">
      <c r="A18" s="512"/>
      <c r="B18" s="507"/>
      <c r="C18" s="508">
        <f t="shared" si="1"/>
        <v>0</v>
      </c>
    </row>
    <row r="19" spans="1:4" x14ac:dyDescent="0.2">
      <c r="A19" s="512"/>
      <c r="B19" s="507"/>
      <c r="C19" s="508">
        <f t="shared" si="1"/>
        <v>0</v>
      </c>
    </row>
    <row r="20" spans="1:4" x14ac:dyDescent="0.2">
      <c r="A20" s="512"/>
      <c r="B20" s="507"/>
      <c r="C20" s="508">
        <f t="shared" si="1"/>
        <v>0</v>
      </c>
    </row>
    <row r="21" spans="1:4" x14ac:dyDescent="0.2">
      <c r="A21" s="512"/>
      <c r="B21" s="507"/>
      <c r="C21" s="508">
        <f t="shared" ref="C21:C27" si="2">B21*4.34</f>
        <v>0</v>
      </c>
    </row>
    <row r="22" spans="1:4" x14ac:dyDescent="0.2">
      <c r="A22" s="512"/>
      <c r="B22" s="507"/>
      <c r="C22" s="508">
        <f t="shared" si="2"/>
        <v>0</v>
      </c>
    </row>
    <row r="23" spans="1:4" x14ac:dyDescent="0.2">
      <c r="A23" s="512"/>
      <c r="B23" s="507"/>
      <c r="C23" s="508">
        <f t="shared" si="2"/>
        <v>0</v>
      </c>
    </row>
    <row r="24" spans="1:4" x14ac:dyDescent="0.2">
      <c r="A24" s="512"/>
      <c r="B24" s="507"/>
      <c r="C24" s="508">
        <f t="shared" si="2"/>
        <v>0</v>
      </c>
    </row>
    <row r="25" spans="1:4" x14ac:dyDescent="0.2">
      <c r="A25" s="512"/>
      <c r="B25" s="507"/>
      <c r="C25" s="508">
        <f t="shared" si="2"/>
        <v>0</v>
      </c>
    </row>
    <row r="26" spans="1:4" x14ac:dyDescent="0.2">
      <c r="A26" s="512"/>
      <c r="B26" s="507"/>
      <c r="C26" s="508">
        <f t="shared" si="2"/>
        <v>0</v>
      </c>
    </row>
    <row r="27" spans="1:4" x14ac:dyDescent="0.2">
      <c r="A27" s="512"/>
      <c r="B27" s="507"/>
      <c r="C27" s="508">
        <f t="shared" si="2"/>
        <v>0</v>
      </c>
    </row>
    <row r="28" spans="1:4" x14ac:dyDescent="0.2">
      <c r="A28" s="529" t="s">
        <v>443</v>
      </c>
      <c r="B28" s="528">
        <f>COUNTA(A7:A27)</f>
        <v>0</v>
      </c>
      <c r="C28" s="527" t="s">
        <v>350</v>
      </c>
    </row>
    <row r="29" spans="1:4" x14ac:dyDescent="0.2">
      <c r="A29" s="529" t="s">
        <v>444</v>
      </c>
      <c r="B29" s="530">
        <f>SUM(C7:C27)</f>
        <v>0</v>
      </c>
      <c r="C29" s="527"/>
    </row>
    <row r="30" spans="1:4" x14ac:dyDescent="0.2">
      <c r="A30" s="529" t="s">
        <v>445</v>
      </c>
      <c r="B30" s="530" t="e">
        <f>B29/B28</f>
        <v>#DIV/0!</v>
      </c>
      <c r="C30" s="527"/>
    </row>
    <row r="31" spans="1:4" x14ac:dyDescent="0.2">
      <c r="A31" s="529" t="s">
        <v>431</v>
      </c>
      <c r="B31" s="530" t="e">
        <f>B30/4.34</f>
        <v>#DIV/0!</v>
      </c>
      <c r="C31" s="511"/>
      <c r="D31" t="s">
        <v>450</v>
      </c>
    </row>
    <row r="32" spans="1:4" x14ac:dyDescent="0.2">
      <c r="A32" s="529" t="s">
        <v>439</v>
      </c>
      <c r="B32" s="531" t="e">
        <f>B31/B4</f>
        <v>#DIV/0!</v>
      </c>
      <c r="C32" s="511"/>
      <c r="D32" t="s">
        <v>455</v>
      </c>
    </row>
    <row r="33" spans="1:3" x14ac:dyDescent="0.2">
      <c r="A33" s="529" t="s">
        <v>430</v>
      </c>
      <c r="B33" s="530">
        <f>B28*B4*4.34</f>
        <v>0</v>
      </c>
      <c r="C33" s="533"/>
    </row>
    <row r="34" spans="1:3" x14ac:dyDescent="0.2">
      <c r="A34" s="529" t="s">
        <v>440</v>
      </c>
      <c r="B34" s="532">
        <f>B33-B29</f>
        <v>0</v>
      </c>
    </row>
    <row r="35" spans="1:3" x14ac:dyDescent="0.2">
      <c r="A35" s="529" t="s">
        <v>429</v>
      </c>
      <c r="B35" s="530">
        <f>B34*10</f>
        <v>0</v>
      </c>
    </row>
  </sheetData>
  <sheetProtection algorithmName="SHA-512" hashValue="5OlZHTlA0eZmfwJm/DgaEvm8kbw6Colja6veZkOZwiHpRmVdptqvu3/EQHaByqpfHrNpLDQwacDAcii26pr+Vw==" saltValue="tc+sQKfJ+Wt1VVtOEEJgYw==" spinCount="100000" sheet="1" objects="1" scenarios="1" selectLockedCells="1"/>
  <conditionalFormatting sqref="B30:B32">
    <cfRule type="containsErrors" dxfId="0" priority="1">
      <formula>ISERROR(B30)</formula>
    </cfRule>
  </conditionalFormatting>
  <pageMargins left="0.25" right="0.25"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7" tint="0.249977111117893"/>
  </sheetPr>
  <dimension ref="A1:K59"/>
  <sheetViews>
    <sheetView topLeftCell="A48" zoomScale="142" zoomScaleNormal="142" workbookViewId="0">
      <selection activeCell="D47" sqref="D47:D51"/>
    </sheetView>
  </sheetViews>
  <sheetFormatPr baseColWidth="10" defaultColWidth="8.83203125" defaultRowHeight="13" x14ac:dyDescent="0.15"/>
  <cols>
    <col min="1" max="1" width="10.83203125" style="465" customWidth="1"/>
    <col min="2" max="2" width="59.6640625" style="465" customWidth="1"/>
    <col min="3" max="3" width="8.83203125" style="465"/>
    <col min="4" max="4" width="15.5" style="465" customWidth="1"/>
    <col min="5" max="5" width="8.83203125" style="465"/>
    <col min="6" max="6" width="17.33203125" style="465" hidden="1" customWidth="1"/>
    <col min="7" max="256" width="8.83203125" style="465"/>
    <col min="257" max="257" width="10.83203125" style="465" customWidth="1"/>
    <col min="258" max="258" width="59.6640625" style="465" customWidth="1"/>
    <col min="259" max="259" width="8.83203125" style="465"/>
    <col min="260" max="260" width="15.5" style="465" customWidth="1"/>
    <col min="261" max="261" width="8.83203125" style="465"/>
    <col min="262" max="262" width="17.33203125" style="465" customWidth="1"/>
    <col min="263" max="512" width="8.83203125" style="465"/>
    <col min="513" max="513" width="10.83203125" style="465" customWidth="1"/>
    <col min="514" max="514" width="59.6640625" style="465" customWidth="1"/>
    <col min="515" max="515" width="8.83203125" style="465"/>
    <col min="516" max="516" width="15.5" style="465" customWidth="1"/>
    <col min="517" max="517" width="8.83203125" style="465"/>
    <col min="518" max="518" width="17.33203125" style="465" customWidth="1"/>
    <col min="519" max="768" width="8.83203125" style="465"/>
    <col min="769" max="769" width="10.83203125" style="465" customWidth="1"/>
    <col min="770" max="770" width="59.6640625" style="465" customWidth="1"/>
    <col min="771" max="771" width="8.83203125" style="465"/>
    <col min="772" max="772" width="15.5" style="465" customWidth="1"/>
    <col min="773" max="773" width="8.83203125" style="465"/>
    <col min="774" max="774" width="17.33203125" style="465" customWidth="1"/>
    <col min="775" max="1024" width="8.83203125" style="465"/>
    <col min="1025" max="1025" width="10.83203125" style="465" customWidth="1"/>
    <col min="1026" max="1026" width="59.6640625" style="465" customWidth="1"/>
    <col min="1027" max="1027" width="8.83203125" style="465"/>
    <col min="1028" max="1028" width="15.5" style="465" customWidth="1"/>
    <col min="1029" max="1029" width="8.83203125" style="465"/>
    <col min="1030" max="1030" width="17.33203125" style="465" customWidth="1"/>
    <col min="1031" max="1280" width="8.83203125" style="465"/>
    <col min="1281" max="1281" width="10.83203125" style="465" customWidth="1"/>
    <col min="1282" max="1282" width="59.6640625" style="465" customWidth="1"/>
    <col min="1283" max="1283" width="8.83203125" style="465"/>
    <col min="1284" max="1284" width="15.5" style="465" customWidth="1"/>
    <col min="1285" max="1285" width="8.83203125" style="465"/>
    <col min="1286" max="1286" width="17.33203125" style="465" customWidth="1"/>
    <col min="1287" max="1536" width="8.83203125" style="465"/>
    <col min="1537" max="1537" width="10.83203125" style="465" customWidth="1"/>
    <col min="1538" max="1538" width="59.6640625" style="465" customWidth="1"/>
    <col min="1539" max="1539" width="8.83203125" style="465"/>
    <col min="1540" max="1540" width="15.5" style="465" customWidth="1"/>
    <col min="1541" max="1541" width="8.83203125" style="465"/>
    <col min="1542" max="1542" width="17.33203125" style="465" customWidth="1"/>
    <col min="1543" max="1792" width="8.83203125" style="465"/>
    <col min="1793" max="1793" width="10.83203125" style="465" customWidth="1"/>
    <col min="1794" max="1794" width="59.6640625" style="465" customWidth="1"/>
    <col min="1795" max="1795" width="8.83203125" style="465"/>
    <col min="1796" max="1796" width="15.5" style="465" customWidth="1"/>
    <col min="1797" max="1797" width="8.83203125" style="465"/>
    <col min="1798" max="1798" width="17.33203125" style="465" customWidth="1"/>
    <col min="1799" max="2048" width="8.83203125" style="465"/>
    <col min="2049" max="2049" width="10.83203125" style="465" customWidth="1"/>
    <col min="2050" max="2050" width="59.6640625" style="465" customWidth="1"/>
    <col min="2051" max="2051" width="8.83203125" style="465"/>
    <col min="2052" max="2052" width="15.5" style="465" customWidth="1"/>
    <col min="2053" max="2053" width="8.83203125" style="465"/>
    <col min="2054" max="2054" width="17.33203125" style="465" customWidth="1"/>
    <col min="2055" max="2304" width="8.83203125" style="465"/>
    <col min="2305" max="2305" width="10.83203125" style="465" customWidth="1"/>
    <col min="2306" max="2306" width="59.6640625" style="465" customWidth="1"/>
    <col min="2307" max="2307" width="8.83203125" style="465"/>
    <col min="2308" max="2308" width="15.5" style="465" customWidth="1"/>
    <col min="2309" max="2309" width="8.83203125" style="465"/>
    <col min="2310" max="2310" width="17.33203125" style="465" customWidth="1"/>
    <col min="2311" max="2560" width="8.83203125" style="465"/>
    <col min="2561" max="2561" width="10.83203125" style="465" customWidth="1"/>
    <col min="2562" max="2562" width="59.6640625" style="465" customWidth="1"/>
    <col min="2563" max="2563" width="8.83203125" style="465"/>
    <col min="2564" max="2564" width="15.5" style="465" customWidth="1"/>
    <col min="2565" max="2565" width="8.83203125" style="465"/>
    <col min="2566" max="2566" width="17.33203125" style="465" customWidth="1"/>
    <col min="2567" max="2816" width="8.83203125" style="465"/>
    <col min="2817" max="2817" width="10.83203125" style="465" customWidth="1"/>
    <col min="2818" max="2818" width="59.6640625" style="465" customWidth="1"/>
    <col min="2819" max="2819" width="8.83203125" style="465"/>
    <col min="2820" max="2820" width="15.5" style="465" customWidth="1"/>
    <col min="2821" max="2821" width="8.83203125" style="465"/>
    <col min="2822" max="2822" width="17.33203125" style="465" customWidth="1"/>
    <col min="2823" max="3072" width="8.83203125" style="465"/>
    <col min="3073" max="3073" width="10.83203125" style="465" customWidth="1"/>
    <col min="3074" max="3074" width="59.6640625" style="465" customWidth="1"/>
    <col min="3075" max="3075" width="8.83203125" style="465"/>
    <col min="3076" max="3076" width="15.5" style="465" customWidth="1"/>
    <col min="3077" max="3077" width="8.83203125" style="465"/>
    <col min="3078" max="3078" width="17.33203125" style="465" customWidth="1"/>
    <col min="3079" max="3328" width="8.83203125" style="465"/>
    <col min="3329" max="3329" width="10.83203125" style="465" customWidth="1"/>
    <col min="3330" max="3330" width="59.6640625" style="465" customWidth="1"/>
    <col min="3331" max="3331" width="8.83203125" style="465"/>
    <col min="3332" max="3332" width="15.5" style="465" customWidth="1"/>
    <col min="3333" max="3333" width="8.83203125" style="465"/>
    <col min="3334" max="3334" width="17.33203125" style="465" customWidth="1"/>
    <col min="3335" max="3584" width="8.83203125" style="465"/>
    <col min="3585" max="3585" width="10.83203125" style="465" customWidth="1"/>
    <col min="3586" max="3586" width="59.6640625" style="465" customWidth="1"/>
    <col min="3587" max="3587" width="8.83203125" style="465"/>
    <col min="3588" max="3588" width="15.5" style="465" customWidth="1"/>
    <col min="3589" max="3589" width="8.83203125" style="465"/>
    <col min="3590" max="3590" width="17.33203125" style="465" customWidth="1"/>
    <col min="3591" max="3840" width="8.83203125" style="465"/>
    <col min="3841" max="3841" width="10.83203125" style="465" customWidth="1"/>
    <col min="3842" max="3842" width="59.6640625" style="465" customWidth="1"/>
    <col min="3843" max="3843" width="8.83203125" style="465"/>
    <col min="3844" max="3844" width="15.5" style="465" customWidth="1"/>
    <col min="3845" max="3845" width="8.83203125" style="465"/>
    <col min="3846" max="3846" width="17.33203125" style="465" customWidth="1"/>
    <col min="3847" max="4096" width="8.83203125" style="465"/>
    <col min="4097" max="4097" width="10.83203125" style="465" customWidth="1"/>
    <col min="4098" max="4098" width="59.6640625" style="465" customWidth="1"/>
    <col min="4099" max="4099" width="8.83203125" style="465"/>
    <col min="4100" max="4100" width="15.5" style="465" customWidth="1"/>
    <col min="4101" max="4101" width="8.83203125" style="465"/>
    <col min="4102" max="4102" width="17.33203125" style="465" customWidth="1"/>
    <col min="4103" max="4352" width="8.83203125" style="465"/>
    <col min="4353" max="4353" width="10.83203125" style="465" customWidth="1"/>
    <col min="4354" max="4354" width="59.6640625" style="465" customWidth="1"/>
    <col min="4355" max="4355" width="8.83203125" style="465"/>
    <col min="4356" max="4356" width="15.5" style="465" customWidth="1"/>
    <col min="4357" max="4357" width="8.83203125" style="465"/>
    <col min="4358" max="4358" width="17.33203125" style="465" customWidth="1"/>
    <col min="4359" max="4608" width="8.83203125" style="465"/>
    <col min="4609" max="4609" width="10.83203125" style="465" customWidth="1"/>
    <col min="4610" max="4610" width="59.6640625" style="465" customWidth="1"/>
    <col min="4611" max="4611" width="8.83203125" style="465"/>
    <col min="4612" max="4612" width="15.5" style="465" customWidth="1"/>
    <col min="4613" max="4613" width="8.83203125" style="465"/>
    <col min="4614" max="4614" width="17.33203125" style="465" customWidth="1"/>
    <col min="4615" max="4864" width="8.83203125" style="465"/>
    <col min="4865" max="4865" width="10.83203125" style="465" customWidth="1"/>
    <col min="4866" max="4866" width="59.6640625" style="465" customWidth="1"/>
    <col min="4867" max="4867" width="8.83203125" style="465"/>
    <col min="4868" max="4868" width="15.5" style="465" customWidth="1"/>
    <col min="4869" max="4869" width="8.83203125" style="465"/>
    <col min="4870" max="4870" width="17.33203125" style="465" customWidth="1"/>
    <col min="4871" max="5120" width="8.83203125" style="465"/>
    <col min="5121" max="5121" width="10.83203125" style="465" customWidth="1"/>
    <col min="5122" max="5122" width="59.6640625" style="465" customWidth="1"/>
    <col min="5123" max="5123" width="8.83203125" style="465"/>
    <col min="5124" max="5124" width="15.5" style="465" customWidth="1"/>
    <col min="5125" max="5125" width="8.83203125" style="465"/>
    <col min="5126" max="5126" width="17.33203125" style="465" customWidth="1"/>
    <col min="5127" max="5376" width="8.83203125" style="465"/>
    <col min="5377" max="5377" width="10.83203125" style="465" customWidth="1"/>
    <col min="5378" max="5378" width="59.6640625" style="465" customWidth="1"/>
    <col min="5379" max="5379" width="8.83203125" style="465"/>
    <col min="5380" max="5380" width="15.5" style="465" customWidth="1"/>
    <col min="5381" max="5381" width="8.83203125" style="465"/>
    <col min="5382" max="5382" width="17.33203125" style="465" customWidth="1"/>
    <col min="5383" max="5632" width="8.83203125" style="465"/>
    <col min="5633" max="5633" width="10.83203125" style="465" customWidth="1"/>
    <col min="5634" max="5634" width="59.6640625" style="465" customWidth="1"/>
    <col min="5635" max="5635" width="8.83203125" style="465"/>
    <col min="5636" max="5636" width="15.5" style="465" customWidth="1"/>
    <col min="5637" max="5637" width="8.83203125" style="465"/>
    <col min="5638" max="5638" width="17.33203125" style="465" customWidth="1"/>
    <col min="5639" max="5888" width="8.83203125" style="465"/>
    <col min="5889" max="5889" width="10.83203125" style="465" customWidth="1"/>
    <col min="5890" max="5890" width="59.6640625" style="465" customWidth="1"/>
    <col min="5891" max="5891" width="8.83203125" style="465"/>
    <col min="5892" max="5892" width="15.5" style="465" customWidth="1"/>
    <col min="5893" max="5893" width="8.83203125" style="465"/>
    <col min="5894" max="5894" width="17.33203125" style="465" customWidth="1"/>
    <col min="5895" max="6144" width="8.83203125" style="465"/>
    <col min="6145" max="6145" width="10.83203125" style="465" customWidth="1"/>
    <col min="6146" max="6146" width="59.6640625" style="465" customWidth="1"/>
    <col min="6147" max="6147" width="8.83203125" style="465"/>
    <col min="6148" max="6148" width="15.5" style="465" customWidth="1"/>
    <col min="6149" max="6149" width="8.83203125" style="465"/>
    <col min="6150" max="6150" width="17.33203125" style="465" customWidth="1"/>
    <col min="6151" max="6400" width="8.83203125" style="465"/>
    <col min="6401" max="6401" width="10.83203125" style="465" customWidth="1"/>
    <col min="6402" max="6402" width="59.6640625" style="465" customWidth="1"/>
    <col min="6403" max="6403" width="8.83203125" style="465"/>
    <col min="6404" max="6404" width="15.5" style="465" customWidth="1"/>
    <col min="6405" max="6405" width="8.83203125" style="465"/>
    <col min="6406" max="6406" width="17.33203125" style="465" customWidth="1"/>
    <col min="6407" max="6656" width="8.83203125" style="465"/>
    <col min="6657" max="6657" width="10.83203125" style="465" customWidth="1"/>
    <col min="6658" max="6658" width="59.6640625" style="465" customWidth="1"/>
    <col min="6659" max="6659" width="8.83203125" style="465"/>
    <col min="6660" max="6660" width="15.5" style="465" customWidth="1"/>
    <col min="6661" max="6661" width="8.83203125" style="465"/>
    <col min="6662" max="6662" width="17.33203125" style="465" customWidth="1"/>
    <col min="6663" max="6912" width="8.83203125" style="465"/>
    <col min="6913" max="6913" width="10.83203125" style="465" customWidth="1"/>
    <col min="6914" max="6914" width="59.6640625" style="465" customWidth="1"/>
    <col min="6915" max="6915" width="8.83203125" style="465"/>
    <col min="6916" max="6916" width="15.5" style="465" customWidth="1"/>
    <col min="6917" max="6917" width="8.83203125" style="465"/>
    <col min="6918" max="6918" width="17.33203125" style="465" customWidth="1"/>
    <col min="6919" max="7168" width="8.83203125" style="465"/>
    <col min="7169" max="7169" width="10.83203125" style="465" customWidth="1"/>
    <col min="7170" max="7170" width="59.6640625" style="465" customWidth="1"/>
    <col min="7171" max="7171" width="8.83203125" style="465"/>
    <col min="7172" max="7172" width="15.5" style="465" customWidth="1"/>
    <col min="7173" max="7173" width="8.83203125" style="465"/>
    <col min="7174" max="7174" width="17.33203125" style="465" customWidth="1"/>
    <col min="7175" max="7424" width="8.83203125" style="465"/>
    <col min="7425" max="7425" width="10.83203125" style="465" customWidth="1"/>
    <col min="7426" max="7426" width="59.6640625" style="465" customWidth="1"/>
    <col min="7427" max="7427" width="8.83203125" style="465"/>
    <col min="7428" max="7428" width="15.5" style="465" customWidth="1"/>
    <col min="7429" max="7429" width="8.83203125" style="465"/>
    <col min="7430" max="7430" width="17.33203125" style="465" customWidth="1"/>
    <col min="7431" max="7680" width="8.83203125" style="465"/>
    <col min="7681" max="7681" width="10.83203125" style="465" customWidth="1"/>
    <col min="7682" max="7682" width="59.6640625" style="465" customWidth="1"/>
    <col min="7683" max="7683" width="8.83203125" style="465"/>
    <col min="7684" max="7684" width="15.5" style="465" customWidth="1"/>
    <col min="7685" max="7685" width="8.83203125" style="465"/>
    <col min="7686" max="7686" width="17.33203125" style="465" customWidth="1"/>
    <col min="7687" max="7936" width="8.83203125" style="465"/>
    <col min="7937" max="7937" width="10.83203125" style="465" customWidth="1"/>
    <col min="7938" max="7938" width="59.6640625" style="465" customWidth="1"/>
    <col min="7939" max="7939" width="8.83203125" style="465"/>
    <col min="7940" max="7940" width="15.5" style="465" customWidth="1"/>
    <col min="7941" max="7941" width="8.83203125" style="465"/>
    <col min="7942" max="7942" width="17.33203125" style="465" customWidth="1"/>
    <col min="7943" max="8192" width="8.83203125" style="465"/>
    <col min="8193" max="8193" width="10.83203125" style="465" customWidth="1"/>
    <col min="8194" max="8194" width="59.6640625" style="465" customWidth="1"/>
    <col min="8195" max="8195" width="8.83203125" style="465"/>
    <col min="8196" max="8196" width="15.5" style="465" customWidth="1"/>
    <col min="8197" max="8197" width="8.83203125" style="465"/>
    <col min="8198" max="8198" width="17.33203125" style="465" customWidth="1"/>
    <col min="8199" max="8448" width="8.83203125" style="465"/>
    <col min="8449" max="8449" width="10.83203125" style="465" customWidth="1"/>
    <col min="8450" max="8450" width="59.6640625" style="465" customWidth="1"/>
    <col min="8451" max="8451" width="8.83203125" style="465"/>
    <col min="8452" max="8452" width="15.5" style="465" customWidth="1"/>
    <col min="8453" max="8453" width="8.83203125" style="465"/>
    <col min="8454" max="8454" width="17.33203125" style="465" customWidth="1"/>
    <col min="8455" max="8704" width="8.83203125" style="465"/>
    <col min="8705" max="8705" width="10.83203125" style="465" customWidth="1"/>
    <col min="8706" max="8706" width="59.6640625" style="465" customWidth="1"/>
    <col min="8707" max="8707" width="8.83203125" style="465"/>
    <col min="8708" max="8708" width="15.5" style="465" customWidth="1"/>
    <col min="8709" max="8709" width="8.83203125" style="465"/>
    <col min="8710" max="8710" width="17.33203125" style="465" customWidth="1"/>
    <col min="8711" max="8960" width="8.83203125" style="465"/>
    <col min="8961" max="8961" width="10.83203125" style="465" customWidth="1"/>
    <col min="8962" max="8962" width="59.6640625" style="465" customWidth="1"/>
    <col min="8963" max="8963" width="8.83203125" style="465"/>
    <col min="8964" max="8964" width="15.5" style="465" customWidth="1"/>
    <col min="8965" max="8965" width="8.83203125" style="465"/>
    <col min="8966" max="8966" width="17.33203125" style="465" customWidth="1"/>
    <col min="8967" max="9216" width="8.83203125" style="465"/>
    <col min="9217" max="9217" width="10.83203125" style="465" customWidth="1"/>
    <col min="9218" max="9218" width="59.6640625" style="465" customWidth="1"/>
    <col min="9219" max="9219" width="8.83203125" style="465"/>
    <col min="9220" max="9220" width="15.5" style="465" customWidth="1"/>
    <col min="9221" max="9221" width="8.83203125" style="465"/>
    <col min="9222" max="9222" width="17.33203125" style="465" customWidth="1"/>
    <col min="9223" max="9472" width="8.83203125" style="465"/>
    <col min="9473" max="9473" width="10.83203125" style="465" customWidth="1"/>
    <col min="9474" max="9474" width="59.6640625" style="465" customWidth="1"/>
    <col min="9475" max="9475" width="8.83203125" style="465"/>
    <col min="9476" max="9476" width="15.5" style="465" customWidth="1"/>
    <col min="9477" max="9477" width="8.83203125" style="465"/>
    <col min="9478" max="9478" width="17.33203125" style="465" customWidth="1"/>
    <col min="9479" max="9728" width="8.83203125" style="465"/>
    <col min="9729" max="9729" width="10.83203125" style="465" customWidth="1"/>
    <col min="9730" max="9730" width="59.6640625" style="465" customWidth="1"/>
    <col min="9731" max="9731" width="8.83203125" style="465"/>
    <col min="9732" max="9732" width="15.5" style="465" customWidth="1"/>
    <col min="9733" max="9733" width="8.83203125" style="465"/>
    <col min="9734" max="9734" width="17.33203125" style="465" customWidth="1"/>
    <col min="9735" max="9984" width="8.83203125" style="465"/>
    <col min="9985" max="9985" width="10.83203125" style="465" customWidth="1"/>
    <col min="9986" max="9986" width="59.6640625" style="465" customWidth="1"/>
    <col min="9987" max="9987" width="8.83203125" style="465"/>
    <col min="9988" max="9988" width="15.5" style="465" customWidth="1"/>
    <col min="9989" max="9989" width="8.83203125" style="465"/>
    <col min="9990" max="9990" width="17.33203125" style="465" customWidth="1"/>
    <col min="9991" max="10240" width="8.83203125" style="465"/>
    <col min="10241" max="10241" width="10.83203125" style="465" customWidth="1"/>
    <col min="10242" max="10242" width="59.6640625" style="465" customWidth="1"/>
    <col min="10243" max="10243" width="8.83203125" style="465"/>
    <col min="10244" max="10244" width="15.5" style="465" customWidth="1"/>
    <col min="10245" max="10245" width="8.83203125" style="465"/>
    <col min="10246" max="10246" width="17.33203125" style="465" customWidth="1"/>
    <col min="10247" max="10496" width="8.83203125" style="465"/>
    <col min="10497" max="10497" width="10.83203125" style="465" customWidth="1"/>
    <col min="10498" max="10498" width="59.6640625" style="465" customWidth="1"/>
    <col min="10499" max="10499" width="8.83203125" style="465"/>
    <col min="10500" max="10500" width="15.5" style="465" customWidth="1"/>
    <col min="10501" max="10501" width="8.83203125" style="465"/>
    <col min="10502" max="10502" width="17.33203125" style="465" customWidth="1"/>
    <col min="10503" max="10752" width="8.83203125" style="465"/>
    <col min="10753" max="10753" width="10.83203125" style="465" customWidth="1"/>
    <col min="10754" max="10754" width="59.6640625" style="465" customWidth="1"/>
    <col min="10755" max="10755" width="8.83203125" style="465"/>
    <col min="10756" max="10756" width="15.5" style="465" customWidth="1"/>
    <col min="10757" max="10757" width="8.83203125" style="465"/>
    <col min="10758" max="10758" width="17.33203125" style="465" customWidth="1"/>
    <col min="10759" max="11008" width="8.83203125" style="465"/>
    <col min="11009" max="11009" width="10.83203125" style="465" customWidth="1"/>
    <col min="11010" max="11010" width="59.6640625" style="465" customWidth="1"/>
    <col min="11011" max="11011" width="8.83203125" style="465"/>
    <col min="11012" max="11012" width="15.5" style="465" customWidth="1"/>
    <col min="11013" max="11013" width="8.83203125" style="465"/>
    <col min="11014" max="11014" width="17.33203125" style="465" customWidth="1"/>
    <col min="11015" max="11264" width="8.83203125" style="465"/>
    <col min="11265" max="11265" width="10.83203125" style="465" customWidth="1"/>
    <col min="11266" max="11266" width="59.6640625" style="465" customWidth="1"/>
    <col min="11267" max="11267" width="8.83203125" style="465"/>
    <col min="11268" max="11268" width="15.5" style="465" customWidth="1"/>
    <col min="11269" max="11269" width="8.83203125" style="465"/>
    <col min="11270" max="11270" width="17.33203125" style="465" customWidth="1"/>
    <col min="11271" max="11520" width="8.83203125" style="465"/>
    <col min="11521" max="11521" width="10.83203125" style="465" customWidth="1"/>
    <col min="11522" max="11522" width="59.6640625" style="465" customWidth="1"/>
    <col min="11523" max="11523" width="8.83203125" style="465"/>
    <col min="11524" max="11524" width="15.5" style="465" customWidth="1"/>
    <col min="11525" max="11525" width="8.83203125" style="465"/>
    <col min="11526" max="11526" width="17.33203125" style="465" customWidth="1"/>
    <col min="11527" max="11776" width="8.83203125" style="465"/>
    <col min="11777" max="11777" width="10.83203125" style="465" customWidth="1"/>
    <col min="11778" max="11778" width="59.6640625" style="465" customWidth="1"/>
    <col min="11779" max="11779" width="8.83203125" style="465"/>
    <col min="11780" max="11780" width="15.5" style="465" customWidth="1"/>
    <col min="11781" max="11781" width="8.83203125" style="465"/>
    <col min="11782" max="11782" width="17.33203125" style="465" customWidth="1"/>
    <col min="11783" max="12032" width="8.83203125" style="465"/>
    <col min="12033" max="12033" width="10.83203125" style="465" customWidth="1"/>
    <col min="12034" max="12034" width="59.6640625" style="465" customWidth="1"/>
    <col min="12035" max="12035" width="8.83203125" style="465"/>
    <col min="12036" max="12036" width="15.5" style="465" customWidth="1"/>
    <col min="12037" max="12037" width="8.83203125" style="465"/>
    <col min="12038" max="12038" width="17.33203125" style="465" customWidth="1"/>
    <col min="12039" max="12288" width="8.83203125" style="465"/>
    <col min="12289" max="12289" width="10.83203125" style="465" customWidth="1"/>
    <col min="12290" max="12290" width="59.6640625" style="465" customWidth="1"/>
    <col min="12291" max="12291" width="8.83203125" style="465"/>
    <col min="12292" max="12292" width="15.5" style="465" customWidth="1"/>
    <col min="12293" max="12293" width="8.83203125" style="465"/>
    <col min="12294" max="12294" width="17.33203125" style="465" customWidth="1"/>
    <col min="12295" max="12544" width="8.83203125" style="465"/>
    <col min="12545" max="12545" width="10.83203125" style="465" customWidth="1"/>
    <col min="12546" max="12546" width="59.6640625" style="465" customWidth="1"/>
    <col min="12547" max="12547" width="8.83203125" style="465"/>
    <col min="12548" max="12548" width="15.5" style="465" customWidth="1"/>
    <col min="12549" max="12549" width="8.83203125" style="465"/>
    <col min="12550" max="12550" width="17.33203125" style="465" customWidth="1"/>
    <col min="12551" max="12800" width="8.83203125" style="465"/>
    <col min="12801" max="12801" width="10.83203125" style="465" customWidth="1"/>
    <col min="12802" max="12802" width="59.6640625" style="465" customWidth="1"/>
    <col min="12803" max="12803" width="8.83203125" style="465"/>
    <col min="12804" max="12804" width="15.5" style="465" customWidth="1"/>
    <col min="12805" max="12805" width="8.83203125" style="465"/>
    <col min="12806" max="12806" width="17.33203125" style="465" customWidth="1"/>
    <col min="12807" max="13056" width="8.83203125" style="465"/>
    <col min="13057" max="13057" width="10.83203125" style="465" customWidth="1"/>
    <col min="13058" max="13058" width="59.6640625" style="465" customWidth="1"/>
    <col min="13059" max="13059" width="8.83203125" style="465"/>
    <col min="13060" max="13060" width="15.5" style="465" customWidth="1"/>
    <col min="13061" max="13061" width="8.83203125" style="465"/>
    <col min="13062" max="13062" width="17.33203125" style="465" customWidth="1"/>
    <col min="13063" max="13312" width="8.83203125" style="465"/>
    <col min="13313" max="13313" width="10.83203125" style="465" customWidth="1"/>
    <col min="13314" max="13314" width="59.6640625" style="465" customWidth="1"/>
    <col min="13315" max="13315" width="8.83203125" style="465"/>
    <col min="13316" max="13316" width="15.5" style="465" customWidth="1"/>
    <col min="13317" max="13317" width="8.83203125" style="465"/>
    <col min="13318" max="13318" width="17.33203125" style="465" customWidth="1"/>
    <col min="13319" max="13568" width="8.83203125" style="465"/>
    <col min="13569" max="13569" width="10.83203125" style="465" customWidth="1"/>
    <col min="13570" max="13570" width="59.6640625" style="465" customWidth="1"/>
    <col min="13571" max="13571" width="8.83203125" style="465"/>
    <col min="13572" max="13572" width="15.5" style="465" customWidth="1"/>
    <col min="13573" max="13573" width="8.83203125" style="465"/>
    <col min="13574" max="13574" width="17.33203125" style="465" customWidth="1"/>
    <col min="13575" max="13824" width="8.83203125" style="465"/>
    <col min="13825" max="13825" width="10.83203125" style="465" customWidth="1"/>
    <col min="13826" max="13826" width="59.6640625" style="465" customWidth="1"/>
    <col min="13827" max="13827" width="8.83203125" style="465"/>
    <col min="13828" max="13828" width="15.5" style="465" customWidth="1"/>
    <col min="13829" max="13829" width="8.83203125" style="465"/>
    <col min="13830" max="13830" width="17.33203125" style="465" customWidth="1"/>
    <col min="13831" max="14080" width="8.83203125" style="465"/>
    <col min="14081" max="14081" width="10.83203125" style="465" customWidth="1"/>
    <col min="14082" max="14082" width="59.6640625" style="465" customWidth="1"/>
    <col min="14083" max="14083" width="8.83203125" style="465"/>
    <col min="14084" max="14084" width="15.5" style="465" customWidth="1"/>
    <col min="14085" max="14085" width="8.83203125" style="465"/>
    <col min="14086" max="14086" width="17.33203125" style="465" customWidth="1"/>
    <col min="14087" max="14336" width="8.83203125" style="465"/>
    <col min="14337" max="14337" width="10.83203125" style="465" customWidth="1"/>
    <col min="14338" max="14338" width="59.6640625" style="465" customWidth="1"/>
    <col min="14339" max="14339" width="8.83203125" style="465"/>
    <col min="14340" max="14340" width="15.5" style="465" customWidth="1"/>
    <col min="14341" max="14341" width="8.83203125" style="465"/>
    <col min="14342" max="14342" width="17.33203125" style="465" customWidth="1"/>
    <col min="14343" max="14592" width="8.83203125" style="465"/>
    <col min="14593" max="14593" width="10.83203125" style="465" customWidth="1"/>
    <col min="14594" max="14594" width="59.6640625" style="465" customWidth="1"/>
    <col min="14595" max="14595" width="8.83203125" style="465"/>
    <col min="14596" max="14596" width="15.5" style="465" customWidth="1"/>
    <col min="14597" max="14597" width="8.83203125" style="465"/>
    <col min="14598" max="14598" width="17.33203125" style="465" customWidth="1"/>
    <col min="14599" max="14848" width="8.83203125" style="465"/>
    <col min="14849" max="14849" width="10.83203125" style="465" customWidth="1"/>
    <col min="14850" max="14850" width="59.6640625" style="465" customWidth="1"/>
    <col min="14851" max="14851" width="8.83203125" style="465"/>
    <col min="14852" max="14852" width="15.5" style="465" customWidth="1"/>
    <col min="14853" max="14853" width="8.83203125" style="465"/>
    <col min="14854" max="14854" width="17.33203125" style="465" customWidth="1"/>
    <col min="14855" max="15104" width="8.83203125" style="465"/>
    <col min="15105" max="15105" width="10.83203125" style="465" customWidth="1"/>
    <col min="15106" max="15106" width="59.6640625" style="465" customWidth="1"/>
    <col min="15107" max="15107" width="8.83203125" style="465"/>
    <col min="15108" max="15108" width="15.5" style="465" customWidth="1"/>
    <col min="15109" max="15109" width="8.83203125" style="465"/>
    <col min="15110" max="15110" width="17.33203125" style="465" customWidth="1"/>
    <col min="15111" max="15360" width="8.83203125" style="465"/>
    <col min="15361" max="15361" width="10.83203125" style="465" customWidth="1"/>
    <col min="15362" max="15362" width="59.6640625" style="465" customWidth="1"/>
    <col min="15363" max="15363" width="8.83203125" style="465"/>
    <col min="15364" max="15364" width="15.5" style="465" customWidth="1"/>
    <col min="15365" max="15365" width="8.83203125" style="465"/>
    <col min="15366" max="15366" width="17.33203125" style="465" customWidth="1"/>
    <col min="15367" max="15616" width="8.83203125" style="465"/>
    <col min="15617" max="15617" width="10.83203125" style="465" customWidth="1"/>
    <col min="15618" max="15618" width="59.6640625" style="465" customWidth="1"/>
    <col min="15619" max="15619" width="8.83203125" style="465"/>
    <col min="15620" max="15620" width="15.5" style="465" customWidth="1"/>
    <col min="15621" max="15621" width="8.83203125" style="465"/>
    <col min="15622" max="15622" width="17.33203125" style="465" customWidth="1"/>
    <col min="15623" max="15872" width="8.83203125" style="465"/>
    <col min="15873" max="15873" width="10.83203125" style="465" customWidth="1"/>
    <col min="15874" max="15874" width="59.6640625" style="465" customWidth="1"/>
    <col min="15875" max="15875" width="8.83203125" style="465"/>
    <col min="15876" max="15876" width="15.5" style="465" customWidth="1"/>
    <col min="15877" max="15877" width="8.83203125" style="465"/>
    <col min="15878" max="15878" width="17.33203125" style="465" customWidth="1"/>
    <col min="15879" max="16128" width="8.83203125" style="465"/>
    <col min="16129" max="16129" width="10.83203125" style="465" customWidth="1"/>
    <col min="16130" max="16130" width="59.6640625" style="465" customWidth="1"/>
    <col min="16131" max="16131" width="8.83203125" style="465"/>
    <col min="16132" max="16132" width="15.5" style="465" customWidth="1"/>
    <col min="16133" max="16133" width="8.83203125" style="465"/>
    <col min="16134" max="16134" width="17.33203125" style="465" customWidth="1"/>
    <col min="16135" max="16384" width="8.83203125" style="465"/>
  </cols>
  <sheetData>
    <row r="1" spans="1:11" ht="20" x14ac:dyDescent="0.2">
      <c r="A1" s="462" t="s">
        <v>361</v>
      </c>
      <c r="B1" s="503"/>
      <c r="C1" s="463"/>
      <c r="D1" s="464" t="s">
        <v>234</v>
      </c>
      <c r="E1" s="464"/>
      <c r="F1" s="464" t="s">
        <v>235</v>
      </c>
    </row>
    <row r="2" spans="1:11" ht="20" hidden="1" x14ac:dyDescent="0.2">
      <c r="A2" s="463"/>
      <c r="B2" s="463"/>
      <c r="C2" s="463"/>
      <c r="D2" s="466" t="s">
        <v>234</v>
      </c>
      <c r="F2" s="466" t="s">
        <v>235</v>
      </c>
    </row>
    <row r="3" spans="1:11" ht="20" x14ac:dyDescent="0.2">
      <c r="A3" s="467" t="s">
        <v>362</v>
      </c>
      <c r="B3" s="468"/>
      <c r="C3" s="468"/>
      <c r="D3" s="495"/>
      <c r="E3" s="469"/>
      <c r="F3" s="495"/>
      <c r="H3" s="652" t="s">
        <v>517</v>
      </c>
      <c r="I3" s="652"/>
      <c r="J3" s="652"/>
      <c r="K3" s="652"/>
    </row>
    <row r="4" spans="1:11" ht="20" x14ac:dyDescent="0.2">
      <c r="A4" s="468"/>
      <c r="B4" s="468" t="str">
        <f>Category1</f>
        <v>Classroom or program 1</v>
      </c>
      <c r="C4" s="468"/>
      <c r="D4" s="482">
        <f>Category1_Annual_Sales</f>
        <v>0</v>
      </c>
      <c r="E4" s="469"/>
      <c r="F4" s="495"/>
    </row>
    <row r="5" spans="1:11" ht="20" x14ac:dyDescent="0.2">
      <c r="A5" s="468"/>
      <c r="B5" s="468" t="str">
        <f>Category2</f>
        <v>Classroom or program 2</v>
      </c>
      <c r="C5" s="468"/>
      <c r="D5" s="482">
        <f>Category2_Annual_Sales</f>
        <v>0</v>
      </c>
      <c r="E5" s="469"/>
      <c r="F5" s="495"/>
    </row>
    <row r="6" spans="1:11" ht="20" x14ac:dyDescent="0.2">
      <c r="A6" s="468"/>
      <c r="B6" s="468" t="str">
        <f>Category3</f>
        <v>Classroom or program 3</v>
      </c>
      <c r="C6" s="468"/>
      <c r="D6" s="482">
        <f>Category3_Annual_Sales</f>
        <v>0</v>
      </c>
      <c r="E6" s="469"/>
      <c r="F6" s="495"/>
    </row>
    <row r="7" spans="1:11" ht="20" x14ac:dyDescent="0.2">
      <c r="A7" s="468"/>
      <c r="B7" s="468" t="str">
        <f>Category4</f>
        <v>Classroom or program 4</v>
      </c>
      <c r="C7" s="468"/>
      <c r="D7" s="482">
        <f>Category4_Annual_Sales</f>
        <v>0</v>
      </c>
      <c r="E7" s="469"/>
      <c r="F7" s="495"/>
    </row>
    <row r="8" spans="1:11" ht="20" x14ac:dyDescent="0.2">
      <c r="A8" s="468"/>
      <c r="B8" s="468" t="str">
        <f>Category5</f>
        <v>Classroom or program 5</v>
      </c>
      <c r="C8" s="468"/>
      <c r="D8" s="482">
        <f>Category5_Annual_Sales</f>
        <v>0</v>
      </c>
      <c r="E8" s="469"/>
      <c r="F8" s="495"/>
    </row>
    <row r="9" spans="1:11" ht="20" x14ac:dyDescent="0.2">
      <c r="A9" s="468"/>
      <c r="B9" s="468" t="str">
        <f>Category6</f>
        <v>Classroom or program 6</v>
      </c>
      <c r="C9" s="468"/>
      <c r="D9" s="482">
        <f>Category8_Annual_Sales</f>
        <v>0</v>
      </c>
      <c r="E9" s="469"/>
      <c r="F9" s="495"/>
    </row>
    <row r="10" spans="1:11" ht="20" x14ac:dyDescent="0.2">
      <c r="A10" s="468"/>
      <c r="B10" s="468" t="str">
        <f>Category7</f>
        <v>Classroom or program 7</v>
      </c>
      <c r="C10" s="468"/>
      <c r="D10" s="482">
        <f>category7_Annual_sales</f>
        <v>0</v>
      </c>
      <c r="E10" s="469"/>
      <c r="F10" s="495"/>
    </row>
    <row r="11" spans="1:11" ht="20" x14ac:dyDescent="0.2">
      <c r="A11" s="468"/>
      <c r="B11" s="468" t="str">
        <f>SalesForecastYear1!B15</f>
        <v>Classroom or program 8</v>
      </c>
      <c r="C11" s="468"/>
      <c r="D11" s="482">
        <f>Category9_Annual_Sales</f>
        <v>0</v>
      </c>
      <c r="E11" s="469"/>
      <c r="F11" s="495"/>
    </row>
    <row r="12" spans="1:11" ht="20" x14ac:dyDescent="0.2">
      <c r="A12" s="468"/>
      <c r="B12" s="468" t="str">
        <f>SalesForecastYear1!B16</f>
        <v>Classroom or program 9</v>
      </c>
      <c r="C12" s="468"/>
      <c r="D12" s="482">
        <f>SalesForecastYear1!O100</f>
        <v>0</v>
      </c>
      <c r="E12" s="471"/>
      <c r="F12" s="495"/>
    </row>
    <row r="13" spans="1:11" ht="20" x14ac:dyDescent="0.2">
      <c r="A13" s="468"/>
      <c r="B13" s="468" t="str">
        <f>Category9</f>
        <v>Classroom or program 10</v>
      </c>
      <c r="C13" s="468"/>
      <c r="D13" s="482">
        <f>SalesForecastYear1!O107</f>
        <v>0</v>
      </c>
      <c r="E13" s="471"/>
      <c r="F13" s="495"/>
    </row>
    <row r="14" spans="1:11" ht="20" x14ac:dyDescent="0.2">
      <c r="A14" s="468"/>
      <c r="B14" s="468" t="str">
        <f>SalesForecastYear1!B18</f>
        <v>Classroom or program 11</v>
      </c>
      <c r="C14" s="468"/>
      <c r="D14" s="482">
        <f>SalesForecastYear1!O114</f>
        <v>0</v>
      </c>
      <c r="E14" s="471"/>
      <c r="F14" s="495"/>
    </row>
    <row r="15" spans="1:11" ht="20" x14ac:dyDescent="0.2">
      <c r="A15" s="468"/>
      <c r="B15" s="648" t="s">
        <v>518</v>
      </c>
      <c r="C15" s="468"/>
      <c r="D15" s="649"/>
      <c r="E15" s="471"/>
      <c r="F15" s="495"/>
    </row>
    <row r="16" spans="1:11" ht="20" x14ac:dyDescent="0.2">
      <c r="A16" s="468"/>
      <c r="B16" s="648" t="s">
        <v>530</v>
      </c>
      <c r="C16" s="468"/>
      <c r="D16" s="649"/>
      <c r="E16" s="471"/>
      <c r="F16" s="495"/>
    </row>
    <row r="17" spans="1:6" ht="20" x14ac:dyDescent="0.2">
      <c r="A17" s="468"/>
      <c r="B17" s="648" t="s">
        <v>350</v>
      </c>
      <c r="C17" s="468"/>
      <c r="D17" s="649"/>
      <c r="E17" s="471"/>
      <c r="F17" s="494"/>
    </row>
    <row r="18" spans="1:6" ht="20" hidden="1" x14ac:dyDescent="0.2">
      <c r="A18" s="468"/>
      <c r="B18" s="468"/>
      <c r="C18" s="468"/>
      <c r="D18" s="482"/>
      <c r="E18" s="471"/>
      <c r="F18" s="470"/>
    </row>
    <row r="19" spans="1:6" ht="20" hidden="1" x14ac:dyDescent="0.2">
      <c r="A19" s="468"/>
      <c r="B19" s="472"/>
      <c r="C19" s="468"/>
      <c r="D19" s="482"/>
      <c r="E19" s="471"/>
      <c r="F19" s="470"/>
    </row>
    <row r="20" spans="1:6" ht="20" x14ac:dyDescent="0.2">
      <c r="A20" s="468"/>
      <c r="B20" s="473" t="s">
        <v>363</v>
      </c>
      <c r="C20" s="468"/>
      <c r="D20" s="482">
        <f>SUM(D4:D17)</f>
        <v>0</v>
      </c>
      <c r="E20" s="471"/>
      <c r="F20" s="482">
        <f>SUM(F4:F17)</f>
        <v>0</v>
      </c>
    </row>
    <row r="21" spans="1:6" ht="20" x14ac:dyDescent="0.2">
      <c r="A21" s="467" t="s">
        <v>364</v>
      </c>
      <c r="B21" s="468"/>
      <c r="C21" s="468"/>
      <c r="D21" s="483"/>
      <c r="E21" s="471"/>
      <c r="F21" s="470"/>
    </row>
    <row r="22" spans="1:6" ht="20" x14ac:dyDescent="0.2">
      <c r="A22" s="468" t="s">
        <v>365</v>
      </c>
      <c r="B22" s="648" t="s">
        <v>366</v>
      </c>
      <c r="C22" s="468"/>
      <c r="D22" s="649"/>
      <c r="E22" s="471"/>
      <c r="F22" s="493"/>
    </row>
    <row r="23" spans="1:6" ht="20" x14ac:dyDescent="0.2">
      <c r="A23" s="468"/>
      <c r="B23" s="648" t="s">
        <v>367</v>
      </c>
      <c r="C23" s="468"/>
      <c r="D23" s="649"/>
      <c r="E23" s="471"/>
      <c r="F23" s="493"/>
    </row>
    <row r="24" spans="1:6" ht="20" x14ac:dyDescent="0.2">
      <c r="A24" s="468"/>
      <c r="B24" s="648" t="s">
        <v>368</v>
      </c>
      <c r="C24" s="468"/>
      <c r="D24" s="482" t="e">
        <f>Sales_Annual_Total</f>
        <v>#DIV/0!</v>
      </c>
      <c r="E24" s="471"/>
      <c r="F24" s="493"/>
    </row>
    <row r="25" spans="1:6" ht="20" x14ac:dyDescent="0.2">
      <c r="A25" s="468"/>
      <c r="B25" s="648" t="s">
        <v>369</v>
      </c>
      <c r="C25" s="468"/>
      <c r="D25" s="650"/>
      <c r="E25" s="471"/>
      <c r="F25" s="493"/>
    </row>
    <row r="26" spans="1:6" ht="20" x14ac:dyDescent="0.2">
      <c r="A26" s="468"/>
      <c r="B26" s="648" t="s">
        <v>370</v>
      </c>
      <c r="C26" s="468"/>
      <c r="D26" s="650"/>
      <c r="E26" s="471"/>
      <c r="F26" s="493"/>
    </row>
    <row r="27" spans="1:6" ht="20" x14ac:dyDescent="0.2">
      <c r="A27" s="468"/>
      <c r="B27" s="648" t="s">
        <v>371</v>
      </c>
      <c r="C27" s="468"/>
      <c r="D27" s="650"/>
      <c r="E27" s="471"/>
      <c r="F27" s="493"/>
    </row>
    <row r="28" spans="1:6" ht="20" x14ac:dyDescent="0.2">
      <c r="A28" s="468"/>
      <c r="B28" s="648" t="s">
        <v>372</v>
      </c>
      <c r="C28" s="468"/>
      <c r="D28" s="650"/>
      <c r="E28" s="471"/>
      <c r="F28" s="493"/>
    </row>
    <row r="29" spans="1:6" ht="20" x14ac:dyDescent="0.2">
      <c r="A29" s="468"/>
      <c r="B29" s="648" t="s">
        <v>373</v>
      </c>
      <c r="C29" s="468"/>
      <c r="D29" s="650"/>
      <c r="E29" s="471"/>
      <c r="F29" s="493"/>
    </row>
    <row r="30" spans="1:6" ht="20" x14ac:dyDescent="0.2">
      <c r="A30" s="468"/>
      <c r="B30" s="468"/>
      <c r="C30" s="468"/>
      <c r="D30" s="494"/>
      <c r="E30" s="471"/>
      <c r="F30" s="494"/>
    </row>
    <row r="31" spans="1:6" ht="20" x14ac:dyDescent="0.2">
      <c r="A31" s="468" t="s">
        <v>374</v>
      </c>
      <c r="B31" s="648" t="s">
        <v>375</v>
      </c>
      <c r="C31" s="468"/>
      <c r="D31" s="650"/>
      <c r="E31" s="471"/>
      <c r="F31" s="493"/>
    </row>
    <row r="32" spans="1:6" ht="20" x14ac:dyDescent="0.2">
      <c r="A32" s="468"/>
      <c r="B32" s="648" t="s">
        <v>520</v>
      </c>
      <c r="C32" s="468"/>
      <c r="D32" s="650"/>
      <c r="E32" s="471"/>
      <c r="F32" s="493"/>
    </row>
    <row r="33" spans="1:10" ht="20" x14ac:dyDescent="0.2">
      <c r="A33" s="468"/>
      <c r="B33" s="648" t="s">
        <v>531</v>
      </c>
      <c r="C33" s="468"/>
      <c r="D33" s="650"/>
      <c r="E33" s="471"/>
      <c r="F33" s="493"/>
    </row>
    <row r="34" spans="1:10" ht="20" x14ac:dyDescent="0.2">
      <c r="A34" s="468" t="s">
        <v>378</v>
      </c>
      <c r="B34" s="648" t="s">
        <v>379</v>
      </c>
      <c r="C34" s="468"/>
      <c r="D34" s="650"/>
      <c r="E34" s="471"/>
      <c r="F34" s="493"/>
    </row>
    <row r="35" spans="1:10" ht="20" x14ac:dyDescent="0.2">
      <c r="A35" s="468"/>
      <c r="B35" s="648" t="s">
        <v>380</v>
      </c>
      <c r="C35" s="468"/>
      <c r="D35" s="650"/>
      <c r="E35" s="471"/>
      <c r="F35" s="493"/>
    </row>
    <row r="36" spans="1:10" ht="20" x14ac:dyDescent="0.2">
      <c r="A36" s="468"/>
      <c r="B36" s="648" t="s">
        <v>381</v>
      </c>
      <c r="C36" s="468"/>
      <c r="D36" s="650"/>
      <c r="E36" s="471"/>
      <c r="F36" s="493"/>
      <c r="J36" s="465" t="s">
        <v>350</v>
      </c>
    </row>
    <row r="37" spans="1:10" ht="20" x14ac:dyDescent="0.2">
      <c r="A37" s="468"/>
      <c r="B37" s="648" t="s">
        <v>382</v>
      </c>
      <c r="C37" s="468"/>
      <c r="D37" s="650"/>
      <c r="E37" s="471"/>
      <c r="F37" s="493"/>
    </row>
    <row r="38" spans="1:10" ht="20" x14ac:dyDescent="0.2">
      <c r="A38" s="468"/>
      <c r="B38" s="648" t="s">
        <v>383</v>
      </c>
      <c r="C38" s="468"/>
      <c r="D38" s="650"/>
      <c r="E38" s="471"/>
      <c r="F38" s="493"/>
    </row>
    <row r="39" spans="1:10" ht="20" x14ac:dyDescent="0.2">
      <c r="A39" s="468"/>
      <c r="B39" s="648" t="s">
        <v>384</v>
      </c>
      <c r="C39" s="468"/>
      <c r="D39" s="650"/>
      <c r="E39" s="471"/>
      <c r="F39" s="493"/>
    </row>
    <row r="40" spans="1:10" ht="20" x14ac:dyDescent="0.2">
      <c r="A40" s="468"/>
      <c r="B40" s="648" t="s">
        <v>519</v>
      </c>
      <c r="C40" s="468"/>
      <c r="D40" s="650"/>
      <c r="E40" s="471"/>
      <c r="F40" s="493"/>
    </row>
    <row r="41" spans="1:10" ht="20" x14ac:dyDescent="0.2">
      <c r="A41" s="468"/>
      <c r="B41" s="648" t="s">
        <v>386</v>
      </c>
      <c r="C41" s="468"/>
      <c r="D41" s="650"/>
      <c r="E41" s="471"/>
      <c r="F41" s="493"/>
    </row>
    <row r="42" spans="1:10" ht="20" x14ac:dyDescent="0.2">
      <c r="A42" s="468"/>
      <c r="B42" s="648" t="s">
        <v>387</v>
      </c>
      <c r="C42" s="468"/>
      <c r="D42" s="650"/>
      <c r="E42" s="471"/>
      <c r="F42" s="493"/>
    </row>
    <row r="43" spans="1:10" ht="20" x14ac:dyDescent="0.2">
      <c r="A43" s="468"/>
      <c r="B43" s="648" t="s">
        <v>388</v>
      </c>
      <c r="C43" s="468"/>
      <c r="D43" s="650"/>
      <c r="E43" s="471"/>
      <c r="F43" s="493"/>
    </row>
    <row r="44" spans="1:10" ht="20" x14ac:dyDescent="0.2">
      <c r="A44" s="468"/>
      <c r="B44" s="648" t="s">
        <v>447</v>
      </c>
      <c r="C44" s="468"/>
      <c r="D44" s="650"/>
      <c r="E44" s="471"/>
      <c r="F44" s="493"/>
    </row>
    <row r="45" spans="1:10" ht="20" x14ac:dyDescent="0.2">
      <c r="A45" s="468"/>
      <c r="B45" s="648" t="s">
        <v>389</v>
      </c>
      <c r="C45" s="468"/>
      <c r="D45" s="650"/>
      <c r="E45" s="471"/>
      <c r="F45" s="493"/>
    </row>
    <row r="46" spans="1:10" ht="20" x14ac:dyDescent="0.2">
      <c r="A46" s="468"/>
      <c r="B46" s="468"/>
      <c r="C46" s="468"/>
      <c r="D46" s="494"/>
      <c r="E46" s="471"/>
      <c r="F46" s="494"/>
    </row>
    <row r="47" spans="1:10" ht="20" x14ac:dyDescent="0.2">
      <c r="A47" s="468" t="s">
        <v>390</v>
      </c>
      <c r="B47" s="648" t="s">
        <v>485</v>
      </c>
      <c r="C47" s="468"/>
      <c r="D47" s="650"/>
      <c r="E47" s="471"/>
      <c r="F47" s="493"/>
    </row>
    <row r="48" spans="1:10" ht="20" x14ac:dyDescent="0.2">
      <c r="A48" s="468"/>
      <c r="B48" s="648" t="s">
        <v>391</v>
      </c>
      <c r="C48" s="468"/>
      <c r="D48" s="650"/>
      <c r="E48" s="471"/>
      <c r="F48" s="493"/>
    </row>
    <row r="49" spans="1:6" ht="20" x14ac:dyDescent="0.2">
      <c r="A49" s="468"/>
      <c r="B49" s="648" t="s">
        <v>392</v>
      </c>
      <c r="C49" s="468"/>
      <c r="D49" s="650"/>
      <c r="E49" s="471"/>
      <c r="F49" s="493"/>
    </row>
    <row r="50" spans="1:6" ht="20" x14ac:dyDescent="0.2">
      <c r="A50" s="468"/>
      <c r="B50" s="648" t="s">
        <v>393</v>
      </c>
      <c r="C50" s="468"/>
      <c r="D50" s="650"/>
      <c r="E50" s="471"/>
      <c r="F50" s="493"/>
    </row>
    <row r="51" spans="1:6" ht="20" x14ac:dyDescent="0.2">
      <c r="A51" s="468"/>
      <c r="B51" s="648" t="s">
        <v>394</v>
      </c>
      <c r="C51" s="468"/>
      <c r="D51" s="650"/>
      <c r="E51" s="471"/>
      <c r="F51" s="493"/>
    </row>
    <row r="52" spans="1:6" ht="20" x14ac:dyDescent="0.2">
      <c r="A52" s="468"/>
      <c r="B52" s="501"/>
      <c r="C52" s="468"/>
      <c r="D52" s="651"/>
      <c r="E52" s="471"/>
      <c r="F52" s="494"/>
    </row>
    <row r="53" spans="1:6" ht="20" x14ac:dyDescent="0.2">
      <c r="A53" s="468" t="s">
        <v>322</v>
      </c>
      <c r="B53" s="502"/>
      <c r="C53" s="468"/>
      <c r="D53" s="474"/>
      <c r="E53" s="475"/>
      <c r="F53" s="474"/>
    </row>
    <row r="54" spans="1:6" ht="20" hidden="1" x14ac:dyDescent="0.2">
      <c r="A54" s="468"/>
      <c r="B54" s="469"/>
      <c r="C54" s="468"/>
      <c r="D54" s="474"/>
      <c r="E54" s="475"/>
      <c r="F54" s="474"/>
    </row>
    <row r="55" spans="1:6" ht="20" x14ac:dyDescent="0.2">
      <c r="A55" s="468"/>
      <c r="B55" s="473" t="s">
        <v>395</v>
      </c>
      <c r="C55" s="468"/>
      <c r="D55" s="474" t="e">
        <f>SUM(D22:D53)</f>
        <v>#DIV/0!</v>
      </c>
      <c r="E55" s="475"/>
      <c r="F55" s="474">
        <f>SUM(F22:F53)</f>
        <v>0</v>
      </c>
    </row>
    <row r="56" spans="1:6" ht="20" x14ac:dyDescent="0.2">
      <c r="A56" s="468"/>
      <c r="B56" s="468"/>
      <c r="C56" s="468"/>
      <c r="D56" s="470"/>
      <c r="E56" s="471"/>
      <c r="F56" s="470"/>
    </row>
    <row r="57" spans="1:6" ht="20" x14ac:dyDescent="0.2">
      <c r="A57" s="467" t="s">
        <v>396</v>
      </c>
      <c r="B57" s="468"/>
      <c r="C57" s="468"/>
      <c r="D57" s="474" t="e">
        <f>D20-D55</f>
        <v>#DIV/0!</v>
      </c>
      <c r="E57" s="475"/>
      <c r="F57" s="474">
        <f>F20-F55</f>
        <v>0</v>
      </c>
    </row>
    <row r="58" spans="1:6" ht="20" x14ac:dyDescent="0.2">
      <c r="A58" s="467" t="s">
        <v>397</v>
      </c>
      <c r="B58" s="468"/>
      <c r="C58" s="653">
        <v>0.2</v>
      </c>
      <c r="D58" s="474" t="e">
        <f>D57*C58</f>
        <v>#DIV/0!</v>
      </c>
      <c r="E58" s="471"/>
      <c r="F58" s="493"/>
    </row>
    <row r="59" spans="1:6" ht="20" x14ac:dyDescent="0.2">
      <c r="A59" s="738" t="s">
        <v>398</v>
      </c>
      <c r="B59" s="739"/>
      <c r="C59" s="468"/>
      <c r="D59" s="474" t="e">
        <f>D57-D58</f>
        <v>#DIV/0!</v>
      </c>
      <c r="E59" s="475"/>
      <c r="F59" s="474">
        <f>F57-F58</f>
        <v>0</v>
      </c>
    </row>
  </sheetData>
  <sheetProtection algorithmName="SHA-512" hashValue="NV2nDPrLt7Um+ImM9JRAKqGlul3LPPTocAVl9JgGBM2YMNiB2EDgpc/9HtWh8lRD2ilUs37Ggh7lbSFygzYrhw==" saltValue="qQTMfc2Ta8oSrFa+4MhU/A==" spinCount="100000" sheet="1" objects="1" scenarios="1" selectLockedCells="1"/>
  <mergeCells count="1">
    <mergeCell ref="A59:B59"/>
  </mergeCells>
  <pageMargins left="0.75" right="0.75" top="1" bottom="1" header="0.5" footer="0.5"/>
  <pageSetup scale="57" orientation="portrait" r:id="rId1"/>
  <headerFooter scaleWithDoc="0" alignWithMargins="0">
    <oddHeader>&amp;L&amp;14Income Statement (Profit &amp; Loss</oddHead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061D8-2259-4646-B27D-A421EAD70AFB}">
  <sheetPr>
    <pageSetUpPr fitToPage="1"/>
  </sheetPr>
  <dimension ref="B1:AR142"/>
  <sheetViews>
    <sheetView showGridLines="0" topLeftCell="B1" zoomScale="96" zoomScaleNormal="96" workbookViewId="0">
      <pane xSplit="1" ySplit="4" topLeftCell="C5" activePane="bottomRight" state="frozen"/>
      <selection activeCell="B1" sqref="B1"/>
      <selection pane="topRight" activeCell="C1" sqref="C1"/>
      <selection pane="bottomLeft" activeCell="B5" sqref="B5"/>
      <selection pane="bottomRight" activeCell="C28" sqref="C28"/>
    </sheetView>
  </sheetViews>
  <sheetFormatPr baseColWidth="10" defaultColWidth="9.1640625" defaultRowHeight="13" x14ac:dyDescent="0.15"/>
  <cols>
    <col min="1" max="1" width="2.5" style="555" customWidth="1"/>
    <col min="2" max="2" width="40.5" style="555" customWidth="1"/>
    <col min="3" max="3" width="13.33203125" style="555" customWidth="1"/>
    <col min="4" max="4" width="14.83203125" style="555" customWidth="1"/>
    <col min="5" max="5" width="14.5" style="555" customWidth="1"/>
    <col min="6" max="7" width="13.5" style="555" customWidth="1"/>
    <col min="8" max="8" width="14.5" style="555" customWidth="1"/>
    <col min="9" max="10" width="13.5" style="555" customWidth="1"/>
    <col min="11" max="11" width="15" style="555" customWidth="1"/>
    <col min="12" max="12" width="13.1640625" style="555" customWidth="1"/>
    <col min="13" max="13" width="13.5" style="555" customWidth="1"/>
    <col min="14" max="14" width="14.5" style="555" customWidth="1"/>
    <col min="15" max="16" width="13.5" style="555" customWidth="1"/>
    <col min="17" max="17" width="15" style="555" customWidth="1"/>
    <col min="18" max="18" width="13.1640625" style="555" customWidth="1"/>
    <col min="19" max="19" width="13.5" style="555" customWidth="1"/>
    <col min="20" max="20" width="14.5" style="555" customWidth="1"/>
    <col min="21" max="22" width="13.5" style="555" customWidth="1"/>
    <col min="23" max="23" width="16.1640625" style="555" customWidth="1"/>
    <col min="24" max="24" width="13.33203125" style="555" customWidth="1"/>
    <col min="25" max="25" width="13.5" style="555" customWidth="1"/>
    <col min="26" max="26" width="15.6640625" style="555" customWidth="1"/>
    <col min="27" max="28" width="13.5" style="555" customWidth="1"/>
    <col min="29" max="38" width="16.1640625" style="555" customWidth="1"/>
    <col min="39" max="39" width="18.33203125" style="555" customWidth="1"/>
    <col min="40" max="41" width="19.5" style="555" customWidth="1"/>
    <col min="42" max="42" width="12.33203125" style="555" bestFit="1" customWidth="1"/>
    <col min="43" max="16384" width="9.1640625" style="555"/>
  </cols>
  <sheetData>
    <row r="1" spans="2:43" ht="25.5" customHeight="1" thickBot="1" x14ac:dyDescent="0.3">
      <c r="B1" s="740" t="s">
        <v>350</v>
      </c>
      <c r="C1" s="741"/>
      <c r="D1" s="741"/>
      <c r="E1" s="741"/>
      <c r="F1" s="741"/>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1"/>
      <c r="AG1" s="741"/>
      <c r="AH1" s="741"/>
      <c r="AI1" s="741"/>
      <c r="AJ1" s="741"/>
      <c r="AK1" s="741"/>
      <c r="AL1" s="741"/>
      <c r="AM1" s="741"/>
      <c r="AN1" s="741"/>
      <c r="AO1" s="630"/>
    </row>
    <row r="2" spans="2:43" ht="14.25" hidden="1" customHeight="1" x14ac:dyDescent="0.15">
      <c r="B2" s="629"/>
      <c r="C2" s="628"/>
      <c r="D2" s="628"/>
      <c r="E2" s="628"/>
      <c r="F2" s="628"/>
      <c r="G2" s="628"/>
      <c r="H2" s="628"/>
      <c r="I2" s="628"/>
      <c r="J2" s="628"/>
      <c r="K2" s="628"/>
      <c r="L2" s="628"/>
      <c r="M2" s="628"/>
      <c r="N2" s="628"/>
      <c r="O2" s="628"/>
      <c r="P2" s="628"/>
      <c r="Q2" s="628"/>
      <c r="R2" s="628"/>
      <c r="S2" s="628"/>
      <c r="T2" s="628"/>
      <c r="U2" s="628"/>
      <c r="V2" s="628"/>
      <c r="W2" s="628"/>
      <c r="X2" s="628"/>
      <c r="Y2" s="628"/>
      <c r="Z2" s="628"/>
      <c r="AA2" s="628"/>
      <c r="AB2" s="628"/>
      <c r="AC2" s="628"/>
      <c r="AD2" s="628"/>
      <c r="AE2" s="628"/>
      <c r="AF2" s="628"/>
      <c r="AG2" s="628"/>
      <c r="AH2" s="628"/>
      <c r="AI2" s="628"/>
      <c r="AJ2" s="628"/>
      <c r="AK2" s="628"/>
      <c r="AL2" s="628"/>
      <c r="AM2" s="628"/>
      <c r="AN2" s="628"/>
      <c r="AO2" s="628"/>
    </row>
    <row r="3" spans="2:43" s="611" customFormat="1" ht="19" customHeight="1" thickBot="1" x14ac:dyDescent="0.25">
      <c r="B3" s="627" t="s">
        <v>512</v>
      </c>
      <c r="C3" s="619" t="s">
        <v>350</v>
      </c>
      <c r="D3" s="626" t="s">
        <v>406</v>
      </c>
      <c r="E3" s="617"/>
      <c r="F3" s="622" t="s">
        <v>350</v>
      </c>
      <c r="G3" s="625" t="s">
        <v>407</v>
      </c>
      <c r="H3" s="620"/>
      <c r="I3" s="619" t="s">
        <v>350</v>
      </c>
      <c r="J3" s="624" t="s">
        <v>408</v>
      </c>
      <c r="K3" s="617"/>
      <c r="L3" s="622" t="s">
        <v>350</v>
      </c>
      <c r="M3" s="623" t="s">
        <v>409</v>
      </c>
      <c r="N3" s="620"/>
      <c r="O3" s="619" t="s">
        <v>350</v>
      </c>
      <c r="P3" s="624" t="s">
        <v>410</v>
      </c>
      <c r="Q3" s="617"/>
      <c r="R3" s="622" t="s">
        <v>350</v>
      </c>
      <c r="S3" s="623" t="s">
        <v>411</v>
      </c>
      <c r="T3" s="620"/>
      <c r="U3" s="619" t="s">
        <v>350</v>
      </c>
      <c r="V3" s="624" t="s">
        <v>412</v>
      </c>
      <c r="W3" s="617"/>
      <c r="X3" s="622" t="s">
        <v>350</v>
      </c>
      <c r="Y3" s="623" t="s">
        <v>482</v>
      </c>
      <c r="Z3" s="620"/>
      <c r="AA3" s="619" t="s">
        <v>350</v>
      </c>
      <c r="AB3" s="616" t="s">
        <v>529</v>
      </c>
      <c r="AC3" s="617"/>
      <c r="AD3" s="622" t="s">
        <v>350</v>
      </c>
      <c r="AE3" s="621" t="s">
        <v>403</v>
      </c>
      <c r="AF3" s="620"/>
      <c r="AG3" s="619" t="s">
        <v>350</v>
      </c>
      <c r="AH3" s="618" t="s">
        <v>404</v>
      </c>
      <c r="AI3" s="617"/>
      <c r="AJ3" s="615"/>
      <c r="AK3" s="616" t="s">
        <v>405</v>
      </c>
      <c r="AL3" s="615"/>
      <c r="AM3" s="614" t="s">
        <v>511</v>
      </c>
      <c r="AN3" s="613" t="s">
        <v>511</v>
      </c>
      <c r="AO3" s="612" t="s">
        <v>511</v>
      </c>
    </row>
    <row r="4" spans="2:43" s="678" customFormat="1" ht="19" customHeight="1" thickBot="1" x14ac:dyDescent="0.2">
      <c r="B4" s="672"/>
      <c r="C4" s="673" t="s">
        <v>510</v>
      </c>
      <c r="D4" s="674" t="s">
        <v>509</v>
      </c>
      <c r="E4" s="675" t="s">
        <v>508</v>
      </c>
      <c r="F4" s="676" t="s">
        <v>510</v>
      </c>
      <c r="G4" s="677" t="s">
        <v>509</v>
      </c>
      <c r="H4" s="675" t="s">
        <v>508</v>
      </c>
      <c r="I4" s="676" t="s">
        <v>510</v>
      </c>
      <c r="J4" s="677" t="s">
        <v>509</v>
      </c>
      <c r="K4" s="675" t="s">
        <v>508</v>
      </c>
      <c r="L4" s="676" t="s">
        <v>510</v>
      </c>
      <c r="M4" s="677" t="s">
        <v>509</v>
      </c>
      <c r="N4" s="675" t="s">
        <v>508</v>
      </c>
      <c r="O4" s="676" t="s">
        <v>510</v>
      </c>
      <c r="P4" s="677" t="s">
        <v>509</v>
      </c>
      <c r="Q4" s="675" t="s">
        <v>508</v>
      </c>
      <c r="R4" s="676" t="s">
        <v>510</v>
      </c>
      <c r="S4" s="677" t="s">
        <v>509</v>
      </c>
      <c r="T4" s="675" t="s">
        <v>508</v>
      </c>
      <c r="U4" s="676" t="s">
        <v>510</v>
      </c>
      <c r="V4" s="677" t="s">
        <v>509</v>
      </c>
      <c r="W4" s="675" t="s">
        <v>508</v>
      </c>
      <c r="X4" s="676" t="s">
        <v>510</v>
      </c>
      <c r="Y4" s="677" t="s">
        <v>509</v>
      </c>
      <c r="Z4" s="675" t="s">
        <v>508</v>
      </c>
      <c r="AA4" s="676" t="s">
        <v>510</v>
      </c>
      <c r="AB4" s="677" t="s">
        <v>509</v>
      </c>
      <c r="AC4" s="675" t="s">
        <v>508</v>
      </c>
      <c r="AD4" s="676" t="s">
        <v>510</v>
      </c>
      <c r="AE4" s="677" t="s">
        <v>509</v>
      </c>
      <c r="AF4" s="675" t="s">
        <v>508</v>
      </c>
      <c r="AG4" s="676" t="s">
        <v>510</v>
      </c>
      <c r="AH4" s="677" t="s">
        <v>509</v>
      </c>
      <c r="AI4" s="675" t="s">
        <v>508</v>
      </c>
      <c r="AJ4" s="676" t="s">
        <v>510</v>
      </c>
      <c r="AK4" s="677" t="s">
        <v>509</v>
      </c>
      <c r="AL4" s="675" t="s">
        <v>508</v>
      </c>
      <c r="AM4" s="610" t="s">
        <v>510</v>
      </c>
      <c r="AN4" s="609" t="s">
        <v>509</v>
      </c>
      <c r="AO4" s="608" t="s">
        <v>508</v>
      </c>
    </row>
    <row r="5" spans="2:43" ht="19.5" customHeight="1" x14ac:dyDescent="0.15">
      <c r="B5" s="607" t="s">
        <v>507</v>
      </c>
      <c r="C5" s="605"/>
      <c r="D5" s="606"/>
      <c r="E5" s="604"/>
      <c r="F5" s="605"/>
      <c r="G5" s="606"/>
      <c r="H5" s="604"/>
      <c r="I5" s="605"/>
      <c r="J5" s="606"/>
      <c r="K5" s="604"/>
      <c r="L5" s="605"/>
      <c r="M5" s="606"/>
      <c r="N5" s="604"/>
      <c r="O5" s="605"/>
      <c r="P5" s="606"/>
      <c r="Q5" s="604"/>
      <c r="R5" s="605"/>
      <c r="S5" s="606"/>
      <c r="T5" s="604"/>
      <c r="U5" s="605"/>
      <c r="V5" s="606"/>
      <c r="W5" s="604"/>
      <c r="X5" s="605"/>
      <c r="Y5" s="606"/>
      <c r="Z5" s="607"/>
      <c r="AA5" s="605"/>
      <c r="AB5" s="606"/>
      <c r="AC5" s="604"/>
      <c r="AD5" s="605"/>
      <c r="AE5" s="606"/>
      <c r="AF5" s="604"/>
      <c r="AG5" s="605"/>
      <c r="AH5" s="606"/>
      <c r="AI5" s="604"/>
      <c r="AJ5" s="605"/>
      <c r="AK5" s="606"/>
      <c r="AL5" s="604"/>
      <c r="AM5" s="605"/>
      <c r="AN5" s="604"/>
      <c r="AO5" s="604"/>
    </row>
    <row r="6" spans="2:43" s="556" customFormat="1" ht="19" customHeight="1" x14ac:dyDescent="0.2">
      <c r="B6" s="633" t="s">
        <v>338</v>
      </c>
      <c r="C6" s="603"/>
      <c r="D6" s="598"/>
      <c r="E6" s="587">
        <f t="shared" ref="E6:E21" si="0">D6-C6</f>
        <v>0</v>
      </c>
      <c r="F6" s="603"/>
      <c r="G6" s="598"/>
      <c r="H6" s="587">
        <f t="shared" ref="H6:H21" si="1">G6-F6</f>
        <v>0</v>
      </c>
      <c r="I6" s="603"/>
      <c r="J6" s="598"/>
      <c r="K6" s="587">
        <f t="shared" ref="K6:K21" si="2">J6-I6</f>
        <v>0</v>
      </c>
      <c r="L6" s="603"/>
      <c r="M6" s="598"/>
      <c r="N6" s="587">
        <f t="shared" ref="N6:N21" si="3">M6-L6</f>
        <v>0</v>
      </c>
      <c r="O6" s="603"/>
      <c r="P6" s="598"/>
      <c r="Q6" s="587">
        <f t="shared" ref="Q6:Q21" si="4">P6-O6</f>
        <v>0</v>
      </c>
      <c r="R6" s="603"/>
      <c r="S6" s="598"/>
      <c r="T6" s="587">
        <f t="shared" ref="T6:T21" si="5">S6-R6</f>
        <v>0</v>
      </c>
      <c r="U6" s="603"/>
      <c r="V6" s="598"/>
      <c r="W6" s="587">
        <f t="shared" ref="W6:W21" si="6">V6-U6</f>
        <v>0</v>
      </c>
      <c r="X6" s="603"/>
      <c r="Y6" s="598"/>
      <c r="Z6" s="587">
        <f t="shared" ref="Z6:Z21" si="7">Y6-X6</f>
        <v>0</v>
      </c>
      <c r="AA6" s="603"/>
      <c r="AB6" s="598"/>
      <c r="AC6" s="587">
        <f t="shared" ref="AC6:AC21" si="8">AB6-AA6</f>
        <v>0</v>
      </c>
      <c r="AD6" s="603"/>
      <c r="AE6" s="598"/>
      <c r="AF6" s="587">
        <f t="shared" ref="AF6:AF21" si="9">AE6-AD6</f>
        <v>0</v>
      </c>
      <c r="AG6" s="603"/>
      <c r="AH6" s="598"/>
      <c r="AI6" s="587">
        <f t="shared" ref="AI6:AI21" si="10">AH6-AG6</f>
        <v>0</v>
      </c>
      <c r="AJ6" s="603"/>
      <c r="AK6" s="598"/>
      <c r="AL6" s="587">
        <f t="shared" ref="AL6:AL21" si="11">AK6-AJ6</f>
        <v>0</v>
      </c>
      <c r="AM6" s="576">
        <f t="shared" ref="AM6:AM22" si="12">C6+F6+I6+L6+U6+X6+O6+R6+AA6+AD6+AG6+AJ6</f>
        <v>0</v>
      </c>
      <c r="AN6" s="575">
        <f t="shared" ref="AN6:AN21" si="13">D6+G6+J6+M6+V6+Y6+P6+S6+AB6+AE6+AH6+AK6</f>
        <v>0</v>
      </c>
      <c r="AO6" s="575">
        <f t="shared" ref="AO6:AO21" si="14">AN6-AM6</f>
        <v>0</v>
      </c>
      <c r="AP6" s="558"/>
      <c r="AQ6" s="556">
        <f>AM6-AO6</f>
        <v>0</v>
      </c>
    </row>
    <row r="7" spans="2:43" s="556" customFormat="1" ht="19" customHeight="1" x14ac:dyDescent="0.2">
      <c r="B7" s="633" t="s">
        <v>513</v>
      </c>
      <c r="C7" s="603"/>
      <c r="D7" s="598"/>
      <c r="E7" s="587">
        <f t="shared" si="0"/>
        <v>0</v>
      </c>
      <c r="F7" s="603"/>
      <c r="G7" s="598"/>
      <c r="H7" s="587">
        <f t="shared" si="1"/>
        <v>0</v>
      </c>
      <c r="I7" s="603"/>
      <c r="J7" s="598"/>
      <c r="K7" s="587">
        <f t="shared" si="2"/>
        <v>0</v>
      </c>
      <c r="L7" s="603"/>
      <c r="M7" s="598"/>
      <c r="N7" s="587">
        <f t="shared" si="3"/>
        <v>0</v>
      </c>
      <c r="O7" s="603"/>
      <c r="P7" s="598"/>
      <c r="Q7" s="587">
        <f t="shared" si="4"/>
        <v>0</v>
      </c>
      <c r="R7" s="603"/>
      <c r="S7" s="598"/>
      <c r="T7" s="587">
        <f t="shared" si="5"/>
        <v>0</v>
      </c>
      <c r="U7" s="603"/>
      <c r="V7" s="598"/>
      <c r="W7" s="587">
        <f t="shared" si="6"/>
        <v>0</v>
      </c>
      <c r="X7" s="603"/>
      <c r="Y7" s="598"/>
      <c r="Z7" s="587">
        <f t="shared" si="7"/>
        <v>0</v>
      </c>
      <c r="AA7" s="603"/>
      <c r="AB7" s="598"/>
      <c r="AC7" s="587">
        <f t="shared" si="8"/>
        <v>0</v>
      </c>
      <c r="AD7" s="603"/>
      <c r="AE7" s="598"/>
      <c r="AF7" s="587">
        <f t="shared" si="9"/>
        <v>0</v>
      </c>
      <c r="AG7" s="603"/>
      <c r="AH7" s="598"/>
      <c r="AI7" s="587">
        <f t="shared" si="10"/>
        <v>0</v>
      </c>
      <c r="AJ7" s="603"/>
      <c r="AK7" s="598"/>
      <c r="AL7" s="587">
        <f t="shared" si="11"/>
        <v>0</v>
      </c>
      <c r="AM7" s="576">
        <f t="shared" si="12"/>
        <v>0</v>
      </c>
      <c r="AN7" s="575">
        <f t="shared" si="13"/>
        <v>0</v>
      </c>
      <c r="AO7" s="575">
        <f t="shared" si="14"/>
        <v>0</v>
      </c>
      <c r="AP7" s="558"/>
    </row>
    <row r="8" spans="2:43" s="556" customFormat="1" ht="19" customHeight="1" x14ac:dyDescent="0.2">
      <c r="B8" s="633" t="s">
        <v>514</v>
      </c>
      <c r="C8" s="603"/>
      <c r="D8" s="598"/>
      <c r="E8" s="587">
        <f t="shared" si="0"/>
        <v>0</v>
      </c>
      <c r="F8" s="603"/>
      <c r="G8" s="598"/>
      <c r="H8" s="587" t="s">
        <v>350</v>
      </c>
      <c r="I8" s="603"/>
      <c r="J8" s="598"/>
      <c r="K8" s="587">
        <f t="shared" si="2"/>
        <v>0</v>
      </c>
      <c r="L8" s="603"/>
      <c r="M8" s="598"/>
      <c r="N8" s="587">
        <f t="shared" si="3"/>
        <v>0</v>
      </c>
      <c r="O8" s="603"/>
      <c r="P8" s="598"/>
      <c r="Q8" s="587">
        <f t="shared" si="4"/>
        <v>0</v>
      </c>
      <c r="R8" s="603"/>
      <c r="S8" s="598"/>
      <c r="T8" s="587">
        <f t="shared" si="5"/>
        <v>0</v>
      </c>
      <c r="U8" s="603"/>
      <c r="V8" s="598"/>
      <c r="W8" s="587">
        <f t="shared" si="6"/>
        <v>0</v>
      </c>
      <c r="X8" s="603"/>
      <c r="Y8" s="598"/>
      <c r="Z8" s="587">
        <f t="shared" si="7"/>
        <v>0</v>
      </c>
      <c r="AA8" s="603"/>
      <c r="AB8" s="598"/>
      <c r="AC8" s="587">
        <f t="shared" si="8"/>
        <v>0</v>
      </c>
      <c r="AD8" s="603"/>
      <c r="AE8" s="598"/>
      <c r="AF8" s="587">
        <f t="shared" si="9"/>
        <v>0</v>
      </c>
      <c r="AG8" s="603"/>
      <c r="AH8" s="598"/>
      <c r="AI8" s="587">
        <f t="shared" si="10"/>
        <v>0</v>
      </c>
      <c r="AJ8" s="603"/>
      <c r="AK8" s="598"/>
      <c r="AL8" s="587">
        <f t="shared" si="11"/>
        <v>0</v>
      </c>
      <c r="AM8" s="576">
        <f t="shared" si="12"/>
        <v>0</v>
      </c>
      <c r="AN8" s="575">
        <f>D8+G8+J8+M8+V8+Y8+P8+S8+AB8+AE8+AH8+AK8</f>
        <v>0</v>
      </c>
      <c r="AO8" s="575">
        <f t="shared" si="14"/>
        <v>0</v>
      </c>
      <c r="AP8" s="558"/>
    </row>
    <row r="9" spans="2:43" s="556" customFormat="1" ht="19" customHeight="1" x14ac:dyDescent="0.2">
      <c r="B9" s="633" t="s">
        <v>515</v>
      </c>
      <c r="C9" s="603"/>
      <c r="D9" s="598"/>
      <c r="E9" s="587">
        <f t="shared" si="0"/>
        <v>0</v>
      </c>
      <c r="F9" s="603"/>
      <c r="G9" s="598"/>
      <c r="H9" s="587">
        <f t="shared" si="1"/>
        <v>0</v>
      </c>
      <c r="I9" s="603"/>
      <c r="J9" s="598"/>
      <c r="K9" s="587">
        <f t="shared" si="2"/>
        <v>0</v>
      </c>
      <c r="L9" s="603"/>
      <c r="M9" s="598"/>
      <c r="N9" s="587">
        <f t="shared" si="3"/>
        <v>0</v>
      </c>
      <c r="O9" s="603"/>
      <c r="P9" s="598"/>
      <c r="Q9" s="587">
        <f t="shared" si="4"/>
        <v>0</v>
      </c>
      <c r="R9" s="603"/>
      <c r="S9" s="598"/>
      <c r="T9" s="587">
        <f t="shared" si="5"/>
        <v>0</v>
      </c>
      <c r="U9" s="603"/>
      <c r="V9" s="598"/>
      <c r="W9" s="587">
        <f t="shared" si="6"/>
        <v>0</v>
      </c>
      <c r="X9" s="603"/>
      <c r="Y9" s="598"/>
      <c r="Z9" s="587">
        <f t="shared" si="7"/>
        <v>0</v>
      </c>
      <c r="AA9" s="603"/>
      <c r="AB9" s="598"/>
      <c r="AC9" s="587">
        <f t="shared" si="8"/>
        <v>0</v>
      </c>
      <c r="AD9" s="603"/>
      <c r="AE9" s="598"/>
      <c r="AF9" s="587">
        <f t="shared" si="9"/>
        <v>0</v>
      </c>
      <c r="AG9" s="603"/>
      <c r="AH9" s="598"/>
      <c r="AI9" s="587">
        <f t="shared" si="10"/>
        <v>0</v>
      </c>
      <c r="AJ9" s="603"/>
      <c r="AK9" s="598"/>
      <c r="AL9" s="587">
        <f t="shared" si="11"/>
        <v>0</v>
      </c>
      <c r="AM9" s="576">
        <f t="shared" si="12"/>
        <v>0</v>
      </c>
      <c r="AN9" s="575">
        <f t="shared" si="13"/>
        <v>0</v>
      </c>
      <c r="AO9" s="575">
        <f t="shared" si="14"/>
        <v>0</v>
      </c>
      <c r="AP9" s="558"/>
    </row>
    <row r="10" spans="2:43" s="556" customFormat="1" ht="19" customHeight="1" x14ac:dyDescent="0.2">
      <c r="B10" s="633" t="s">
        <v>506</v>
      </c>
      <c r="C10" s="603"/>
      <c r="D10" s="598"/>
      <c r="E10" s="587">
        <f t="shared" si="0"/>
        <v>0</v>
      </c>
      <c r="F10" s="603"/>
      <c r="G10" s="598"/>
      <c r="H10" s="587">
        <f t="shared" si="1"/>
        <v>0</v>
      </c>
      <c r="I10" s="603"/>
      <c r="J10" s="598"/>
      <c r="K10" s="587">
        <f t="shared" si="2"/>
        <v>0</v>
      </c>
      <c r="L10" s="603"/>
      <c r="M10" s="598"/>
      <c r="N10" s="587">
        <f t="shared" si="3"/>
        <v>0</v>
      </c>
      <c r="O10" s="603"/>
      <c r="P10" s="598"/>
      <c r="Q10" s="587">
        <f t="shared" si="4"/>
        <v>0</v>
      </c>
      <c r="R10" s="603"/>
      <c r="S10" s="598"/>
      <c r="T10" s="587">
        <f t="shared" si="5"/>
        <v>0</v>
      </c>
      <c r="U10" s="603"/>
      <c r="V10" s="598"/>
      <c r="W10" s="587">
        <f t="shared" si="6"/>
        <v>0</v>
      </c>
      <c r="X10" s="603"/>
      <c r="Y10" s="598"/>
      <c r="Z10" s="587">
        <f t="shared" si="7"/>
        <v>0</v>
      </c>
      <c r="AA10" s="603"/>
      <c r="AB10" s="598"/>
      <c r="AC10" s="587">
        <f t="shared" si="8"/>
        <v>0</v>
      </c>
      <c r="AD10" s="603"/>
      <c r="AE10" s="598"/>
      <c r="AF10" s="587">
        <f t="shared" si="9"/>
        <v>0</v>
      </c>
      <c r="AG10" s="603"/>
      <c r="AH10" s="598"/>
      <c r="AI10" s="587">
        <f t="shared" si="10"/>
        <v>0</v>
      </c>
      <c r="AJ10" s="603"/>
      <c r="AK10" s="598"/>
      <c r="AL10" s="587">
        <f t="shared" si="11"/>
        <v>0</v>
      </c>
      <c r="AM10" s="576">
        <f t="shared" si="12"/>
        <v>0</v>
      </c>
      <c r="AN10" s="575">
        <f t="shared" si="13"/>
        <v>0</v>
      </c>
      <c r="AO10" s="575">
        <f t="shared" si="14"/>
        <v>0</v>
      </c>
      <c r="AP10" s="558"/>
    </row>
    <row r="11" spans="2:43" s="556" customFormat="1" ht="19" customHeight="1" x14ac:dyDescent="0.2">
      <c r="B11" s="633" t="s">
        <v>505</v>
      </c>
      <c r="C11" s="603"/>
      <c r="D11" s="598"/>
      <c r="E11" s="587">
        <f t="shared" si="0"/>
        <v>0</v>
      </c>
      <c r="F11" s="603"/>
      <c r="G11" s="598"/>
      <c r="H11" s="587">
        <f t="shared" si="1"/>
        <v>0</v>
      </c>
      <c r="I11" s="603"/>
      <c r="J11" s="598"/>
      <c r="K11" s="587">
        <f t="shared" si="2"/>
        <v>0</v>
      </c>
      <c r="L11" s="603"/>
      <c r="M11" s="598"/>
      <c r="N11" s="587">
        <f t="shared" si="3"/>
        <v>0</v>
      </c>
      <c r="O11" s="603"/>
      <c r="P11" s="598"/>
      <c r="Q11" s="587">
        <f t="shared" si="4"/>
        <v>0</v>
      </c>
      <c r="R11" s="603"/>
      <c r="S11" s="598"/>
      <c r="T11" s="587">
        <f t="shared" si="5"/>
        <v>0</v>
      </c>
      <c r="U11" s="603"/>
      <c r="V11" s="598"/>
      <c r="W11" s="587">
        <f t="shared" si="6"/>
        <v>0</v>
      </c>
      <c r="X11" s="603"/>
      <c r="Y11" s="598"/>
      <c r="Z11" s="587">
        <f t="shared" si="7"/>
        <v>0</v>
      </c>
      <c r="AA11" s="603"/>
      <c r="AB11" s="598"/>
      <c r="AC11" s="587">
        <f t="shared" si="8"/>
        <v>0</v>
      </c>
      <c r="AD11" s="603"/>
      <c r="AE11" s="598"/>
      <c r="AF11" s="587">
        <f t="shared" si="9"/>
        <v>0</v>
      </c>
      <c r="AG11" s="603"/>
      <c r="AH11" s="598"/>
      <c r="AI11" s="587">
        <f t="shared" si="10"/>
        <v>0</v>
      </c>
      <c r="AJ11" s="603"/>
      <c r="AK11" s="598"/>
      <c r="AL11" s="587">
        <f t="shared" si="11"/>
        <v>0</v>
      </c>
      <c r="AM11" s="576">
        <f t="shared" si="12"/>
        <v>0</v>
      </c>
      <c r="AN11" s="575">
        <f t="shared" si="13"/>
        <v>0</v>
      </c>
      <c r="AO11" s="575">
        <f t="shared" si="14"/>
        <v>0</v>
      </c>
    </row>
    <row r="12" spans="2:43" s="556" customFormat="1" ht="19" customHeight="1" x14ac:dyDescent="0.2">
      <c r="B12" s="633" t="s">
        <v>504</v>
      </c>
      <c r="C12" s="603"/>
      <c r="D12" s="598"/>
      <c r="E12" s="587">
        <f t="shared" si="0"/>
        <v>0</v>
      </c>
      <c r="F12" s="603"/>
      <c r="G12" s="598"/>
      <c r="H12" s="587">
        <f t="shared" si="1"/>
        <v>0</v>
      </c>
      <c r="I12" s="603"/>
      <c r="J12" s="598"/>
      <c r="K12" s="587">
        <f t="shared" si="2"/>
        <v>0</v>
      </c>
      <c r="L12" s="603"/>
      <c r="M12" s="598"/>
      <c r="N12" s="587">
        <f t="shared" si="3"/>
        <v>0</v>
      </c>
      <c r="O12" s="603"/>
      <c r="P12" s="598"/>
      <c r="Q12" s="587">
        <f t="shared" si="4"/>
        <v>0</v>
      </c>
      <c r="R12" s="603"/>
      <c r="S12" s="598"/>
      <c r="T12" s="587">
        <f t="shared" si="5"/>
        <v>0</v>
      </c>
      <c r="U12" s="603"/>
      <c r="V12" s="598"/>
      <c r="W12" s="587">
        <f t="shared" si="6"/>
        <v>0</v>
      </c>
      <c r="X12" s="603"/>
      <c r="Y12" s="598"/>
      <c r="Z12" s="587">
        <f t="shared" si="7"/>
        <v>0</v>
      </c>
      <c r="AA12" s="603"/>
      <c r="AB12" s="598"/>
      <c r="AC12" s="587">
        <f t="shared" si="8"/>
        <v>0</v>
      </c>
      <c r="AD12" s="603"/>
      <c r="AE12" s="598"/>
      <c r="AF12" s="587">
        <f t="shared" si="9"/>
        <v>0</v>
      </c>
      <c r="AG12" s="603"/>
      <c r="AH12" s="598"/>
      <c r="AI12" s="587">
        <f t="shared" si="10"/>
        <v>0</v>
      </c>
      <c r="AJ12" s="603"/>
      <c r="AK12" s="598"/>
      <c r="AL12" s="587">
        <f t="shared" si="11"/>
        <v>0</v>
      </c>
      <c r="AM12" s="576">
        <f t="shared" si="12"/>
        <v>0</v>
      </c>
      <c r="AN12" s="575">
        <f t="shared" si="13"/>
        <v>0</v>
      </c>
      <c r="AO12" s="575">
        <f t="shared" si="14"/>
        <v>0</v>
      </c>
      <c r="AQ12" s="556">
        <v>2</v>
      </c>
    </row>
    <row r="13" spans="2:43" s="556" customFormat="1" ht="19" customHeight="1" x14ac:dyDescent="0.2">
      <c r="B13" s="633" t="s">
        <v>503</v>
      </c>
      <c r="C13" s="603"/>
      <c r="D13" s="598"/>
      <c r="E13" s="587">
        <f t="shared" si="0"/>
        <v>0</v>
      </c>
      <c r="F13" s="603"/>
      <c r="G13" s="598"/>
      <c r="H13" s="587">
        <f t="shared" si="1"/>
        <v>0</v>
      </c>
      <c r="I13" s="603"/>
      <c r="J13" s="598"/>
      <c r="K13" s="587">
        <f t="shared" si="2"/>
        <v>0</v>
      </c>
      <c r="L13" s="603"/>
      <c r="M13" s="598"/>
      <c r="N13" s="587">
        <f t="shared" si="3"/>
        <v>0</v>
      </c>
      <c r="O13" s="603"/>
      <c r="P13" s="598"/>
      <c r="Q13" s="587">
        <f t="shared" si="4"/>
        <v>0</v>
      </c>
      <c r="R13" s="603"/>
      <c r="S13" s="598"/>
      <c r="T13" s="587">
        <f t="shared" si="5"/>
        <v>0</v>
      </c>
      <c r="U13" s="603"/>
      <c r="V13" s="598"/>
      <c r="W13" s="587">
        <f t="shared" si="6"/>
        <v>0</v>
      </c>
      <c r="X13" s="603"/>
      <c r="Y13" s="598"/>
      <c r="Z13" s="587">
        <f t="shared" si="7"/>
        <v>0</v>
      </c>
      <c r="AA13" s="603"/>
      <c r="AB13" s="598"/>
      <c r="AC13" s="587">
        <f t="shared" si="8"/>
        <v>0</v>
      </c>
      <c r="AD13" s="603"/>
      <c r="AE13" s="598"/>
      <c r="AF13" s="587">
        <f t="shared" si="9"/>
        <v>0</v>
      </c>
      <c r="AG13" s="603"/>
      <c r="AH13" s="598"/>
      <c r="AI13" s="587">
        <f t="shared" si="10"/>
        <v>0</v>
      </c>
      <c r="AJ13" s="603"/>
      <c r="AK13" s="598"/>
      <c r="AL13" s="587">
        <f t="shared" si="11"/>
        <v>0</v>
      </c>
      <c r="AM13" s="576">
        <f t="shared" si="12"/>
        <v>0</v>
      </c>
      <c r="AN13" s="575">
        <f t="shared" si="13"/>
        <v>0</v>
      </c>
      <c r="AO13" s="575">
        <f t="shared" si="14"/>
        <v>0</v>
      </c>
    </row>
    <row r="14" spans="2:43" s="556" customFormat="1" ht="19" customHeight="1" x14ac:dyDescent="0.2">
      <c r="B14" s="633" t="s">
        <v>502</v>
      </c>
      <c r="C14" s="603"/>
      <c r="D14" s="598"/>
      <c r="E14" s="587">
        <f t="shared" si="0"/>
        <v>0</v>
      </c>
      <c r="F14" s="603"/>
      <c r="G14" s="598"/>
      <c r="H14" s="587">
        <f t="shared" si="1"/>
        <v>0</v>
      </c>
      <c r="I14" s="603"/>
      <c r="J14" s="598"/>
      <c r="K14" s="587">
        <f t="shared" si="2"/>
        <v>0</v>
      </c>
      <c r="L14" s="603"/>
      <c r="M14" s="598"/>
      <c r="N14" s="587">
        <f t="shared" si="3"/>
        <v>0</v>
      </c>
      <c r="O14" s="603"/>
      <c r="P14" s="598"/>
      <c r="Q14" s="587">
        <f t="shared" si="4"/>
        <v>0</v>
      </c>
      <c r="R14" s="603"/>
      <c r="S14" s="598"/>
      <c r="T14" s="587">
        <f t="shared" si="5"/>
        <v>0</v>
      </c>
      <c r="U14" s="603"/>
      <c r="V14" s="598"/>
      <c r="W14" s="587">
        <f t="shared" si="6"/>
        <v>0</v>
      </c>
      <c r="X14" s="603"/>
      <c r="Y14" s="598"/>
      <c r="Z14" s="587">
        <f t="shared" si="7"/>
        <v>0</v>
      </c>
      <c r="AA14" s="603"/>
      <c r="AB14" s="598"/>
      <c r="AC14" s="587">
        <f t="shared" si="8"/>
        <v>0</v>
      </c>
      <c r="AD14" s="603"/>
      <c r="AE14" s="598"/>
      <c r="AF14" s="587">
        <f t="shared" si="9"/>
        <v>0</v>
      </c>
      <c r="AG14" s="603"/>
      <c r="AH14" s="598"/>
      <c r="AI14" s="587">
        <f t="shared" si="10"/>
        <v>0</v>
      </c>
      <c r="AJ14" s="603"/>
      <c r="AK14" s="598"/>
      <c r="AL14" s="587">
        <f t="shared" si="11"/>
        <v>0</v>
      </c>
      <c r="AM14" s="576">
        <f t="shared" si="12"/>
        <v>0</v>
      </c>
      <c r="AN14" s="575">
        <f t="shared" si="13"/>
        <v>0</v>
      </c>
      <c r="AO14" s="575">
        <f t="shared" si="14"/>
        <v>0</v>
      </c>
    </row>
    <row r="15" spans="2:43" s="556" customFormat="1" ht="19" customHeight="1" x14ac:dyDescent="0.2">
      <c r="B15" s="633" t="s">
        <v>501</v>
      </c>
      <c r="C15" s="603"/>
      <c r="D15" s="598"/>
      <c r="E15" s="587">
        <f t="shared" si="0"/>
        <v>0</v>
      </c>
      <c r="F15" s="603"/>
      <c r="G15" s="598"/>
      <c r="H15" s="587">
        <f t="shared" si="1"/>
        <v>0</v>
      </c>
      <c r="I15" s="603"/>
      <c r="J15" s="598"/>
      <c r="K15" s="587">
        <f t="shared" si="2"/>
        <v>0</v>
      </c>
      <c r="L15" s="603"/>
      <c r="M15" s="598"/>
      <c r="N15" s="587">
        <f t="shared" si="3"/>
        <v>0</v>
      </c>
      <c r="O15" s="603"/>
      <c r="P15" s="598"/>
      <c r="Q15" s="587">
        <f t="shared" si="4"/>
        <v>0</v>
      </c>
      <c r="R15" s="603"/>
      <c r="S15" s="598"/>
      <c r="T15" s="587">
        <f t="shared" si="5"/>
        <v>0</v>
      </c>
      <c r="U15" s="603"/>
      <c r="V15" s="598"/>
      <c r="W15" s="587">
        <f t="shared" si="6"/>
        <v>0</v>
      </c>
      <c r="X15" s="603"/>
      <c r="Y15" s="598"/>
      <c r="Z15" s="587">
        <f t="shared" si="7"/>
        <v>0</v>
      </c>
      <c r="AA15" s="603"/>
      <c r="AB15" s="598"/>
      <c r="AC15" s="587">
        <f t="shared" si="8"/>
        <v>0</v>
      </c>
      <c r="AD15" s="603"/>
      <c r="AE15" s="598"/>
      <c r="AF15" s="587">
        <f t="shared" si="9"/>
        <v>0</v>
      </c>
      <c r="AG15" s="603"/>
      <c r="AH15" s="598"/>
      <c r="AI15" s="587">
        <f t="shared" si="10"/>
        <v>0</v>
      </c>
      <c r="AJ15" s="603"/>
      <c r="AK15" s="598"/>
      <c r="AL15" s="587">
        <f t="shared" si="11"/>
        <v>0</v>
      </c>
      <c r="AM15" s="576">
        <f t="shared" si="12"/>
        <v>0</v>
      </c>
      <c r="AN15" s="575">
        <f t="shared" si="13"/>
        <v>0</v>
      </c>
      <c r="AO15" s="575">
        <f t="shared" si="14"/>
        <v>0</v>
      </c>
    </row>
    <row r="16" spans="2:43" s="556" customFormat="1" ht="19" customHeight="1" x14ac:dyDescent="0.2">
      <c r="B16" s="633" t="s">
        <v>500</v>
      </c>
      <c r="C16" s="603"/>
      <c r="D16" s="598"/>
      <c r="E16" s="587">
        <f t="shared" si="0"/>
        <v>0</v>
      </c>
      <c r="F16" s="603"/>
      <c r="G16" s="598"/>
      <c r="H16" s="587">
        <f t="shared" si="1"/>
        <v>0</v>
      </c>
      <c r="I16" s="603"/>
      <c r="J16" s="598"/>
      <c r="K16" s="587">
        <f t="shared" si="2"/>
        <v>0</v>
      </c>
      <c r="L16" s="603"/>
      <c r="M16" s="598"/>
      <c r="N16" s="587">
        <f t="shared" si="3"/>
        <v>0</v>
      </c>
      <c r="O16" s="603"/>
      <c r="P16" s="598"/>
      <c r="Q16" s="587">
        <f t="shared" si="4"/>
        <v>0</v>
      </c>
      <c r="R16" s="603"/>
      <c r="S16" s="598"/>
      <c r="T16" s="587">
        <f t="shared" si="5"/>
        <v>0</v>
      </c>
      <c r="U16" s="603"/>
      <c r="V16" s="598"/>
      <c r="W16" s="587">
        <f t="shared" si="6"/>
        <v>0</v>
      </c>
      <c r="X16" s="603"/>
      <c r="Y16" s="598"/>
      <c r="Z16" s="587">
        <f t="shared" si="7"/>
        <v>0</v>
      </c>
      <c r="AA16" s="603"/>
      <c r="AB16" s="598"/>
      <c r="AC16" s="587">
        <f t="shared" si="8"/>
        <v>0</v>
      </c>
      <c r="AD16" s="603"/>
      <c r="AE16" s="598"/>
      <c r="AF16" s="587">
        <f t="shared" si="9"/>
        <v>0</v>
      </c>
      <c r="AG16" s="603"/>
      <c r="AH16" s="598"/>
      <c r="AI16" s="587">
        <f t="shared" si="10"/>
        <v>0</v>
      </c>
      <c r="AJ16" s="603"/>
      <c r="AK16" s="598"/>
      <c r="AL16" s="587">
        <f t="shared" si="11"/>
        <v>0</v>
      </c>
      <c r="AM16" s="576">
        <f t="shared" si="12"/>
        <v>0</v>
      </c>
      <c r="AN16" s="575">
        <f t="shared" si="13"/>
        <v>0</v>
      </c>
      <c r="AO16" s="575">
        <f t="shared" si="14"/>
        <v>0</v>
      </c>
    </row>
    <row r="17" spans="2:44" s="556" customFormat="1" ht="19" customHeight="1" x14ac:dyDescent="0.2">
      <c r="B17" s="633" t="s">
        <v>499</v>
      </c>
      <c r="C17" s="603"/>
      <c r="D17" s="598"/>
      <c r="E17" s="587">
        <f t="shared" si="0"/>
        <v>0</v>
      </c>
      <c r="F17" s="603"/>
      <c r="G17" s="598"/>
      <c r="H17" s="587">
        <f t="shared" si="1"/>
        <v>0</v>
      </c>
      <c r="I17" s="603"/>
      <c r="J17" s="598"/>
      <c r="K17" s="587">
        <f t="shared" si="2"/>
        <v>0</v>
      </c>
      <c r="L17" s="603"/>
      <c r="M17" s="598"/>
      <c r="N17" s="587">
        <f t="shared" si="3"/>
        <v>0</v>
      </c>
      <c r="O17" s="603"/>
      <c r="P17" s="598"/>
      <c r="Q17" s="587">
        <f t="shared" si="4"/>
        <v>0</v>
      </c>
      <c r="R17" s="603"/>
      <c r="S17" s="598"/>
      <c r="T17" s="587">
        <f t="shared" si="5"/>
        <v>0</v>
      </c>
      <c r="U17" s="603"/>
      <c r="V17" s="598"/>
      <c r="W17" s="587">
        <f t="shared" si="6"/>
        <v>0</v>
      </c>
      <c r="X17" s="603"/>
      <c r="Y17" s="598"/>
      <c r="Z17" s="587">
        <f t="shared" si="7"/>
        <v>0</v>
      </c>
      <c r="AA17" s="603"/>
      <c r="AB17" s="598"/>
      <c r="AC17" s="587">
        <f t="shared" si="8"/>
        <v>0</v>
      </c>
      <c r="AD17" s="603"/>
      <c r="AE17" s="598"/>
      <c r="AF17" s="587">
        <f t="shared" si="9"/>
        <v>0</v>
      </c>
      <c r="AG17" s="603"/>
      <c r="AH17" s="598"/>
      <c r="AI17" s="587">
        <f t="shared" si="10"/>
        <v>0</v>
      </c>
      <c r="AJ17" s="603"/>
      <c r="AK17" s="598"/>
      <c r="AL17" s="587">
        <f t="shared" si="11"/>
        <v>0</v>
      </c>
      <c r="AM17" s="576">
        <f t="shared" si="12"/>
        <v>0</v>
      </c>
      <c r="AN17" s="575">
        <f t="shared" si="13"/>
        <v>0</v>
      </c>
      <c r="AO17" s="575">
        <f t="shared" si="14"/>
        <v>0</v>
      </c>
      <c r="AR17" s="556">
        <v>4</v>
      </c>
    </row>
    <row r="18" spans="2:44" s="556" customFormat="1" ht="19" customHeight="1" x14ac:dyDescent="0.2">
      <c r="B18" s="633" t="s">
        <v>498</v>
      </c>
      <c r="C18" s="603"/>
      <c r="D18" s="598"/>
      <c r="E18" s="587">
        <f t="shared" si="0"/>
        <v>0</v>
      </c>
      <c r="F18" s="603"/>
      <c r="G18" s="598"/>
      <c r="H18" s="587">
        <f t="shared" si="1"/>
        <v>0</v>
      </c>
      <c r="I18" s="603"/>
      <c r="J18" s="598"/>
      <c r="K18" s="587">
        <f t="shared" si="2"/>
        <v>0</v>
      </c>
      <c r="L18" s="603"/>
      <c r="M18" s="598"/>
      <c r="N18" s="587">
        <f t="shared" si="3"/>
        <v>0</v>
      </c>
      <c r="O18" s="603"/>
      <c r="P18" s="598"/>
      <c r="Q18" s="587">
        <f t="shared" si="4"/>
        <v>0</v>
      </c>
      <c r="R18" s="603"/>
      <c r="S18" s="598"/>
      <c r="T18" s="587">
        <f t="shared" si="5"/>
        <v>0</v>
      </c>
      <c r="U18" s="603"/>
      <c r="V18" s="598"/>
      <c r="W18" s="587">
        <f t="shared" si="6"/>
        <v>0</v>
      </c>
      <c r="X18" s="603"/>
      <c r="Y18" s="598"/>
      <c r="Z18" s="587">
        <f t="shared" si="7"/>
        <v>0</v>
      </c>
      <c r="AA18" s="603"/>
      <c r="AB18" s="598"/>
      <c r="AC18" s="587">
        <f t="shared" si="8"/>
        <v>0</v>
      </c>
      <c r="AD18" s="603"/>
      <c r="AE18" s="598"/>
      <c r="AF18" s="587">
        <f t="shared" si="9"/>
        <v>0</v>
      </c>
      <c r="AG18" s="603"/>
      <c r="AH18" s="598"/>
      <c r="AI18" s="587">
        <f t="shared" si="10"/>
        <v>0</v>
      </c>
      <c r="AJ18" s="603"/>
      <c r="AK18" s="598"/>
      <c r="AL18" s="587">
        <f t="shared" si="11"/>
        <v>0</v>
      </c>
      <c r="AM18" s="576">
        <f t="shared" si="12"/>
        <v>0</v>
      </c>
      <c r="AN18" s="575">
        <f t="shared" si="13"/>
        <v>0</v>
      </c>
      <c r="AO18" s="575">
        <f t="shared" si="14"/>
        <v>0</v>
      </c>
    </row>
    <row r="19" spans="2:44" s="556" customFormat="1" ht="19" customHeight="1" x14ac:dyDescent="0.2">
      <c r="B19" s="633" t="s">
        <v>497</v>
      </c>
      <c r="C19" s="603"/>
      <c r="D19" s="598"/>
      <c r="E19" s="587">
        <f t="shared" si="0"/>
        <v>0</v>
      </c>
      <c r="F19" s="603"/>
      <c r="G19" s="598"/>
      <c r="H19" s="587">
        <f t="shared" si="1"/>
        <v>0</v>
      </c>
      <c r="I19" s="603"/>
      <c r="J19" s="598"/>
      <c r="K19" s="587">
        <f t="shared" si="2"/>
        <v>0</v>
      </c>
      <c r="L19" s="603"/>
      <c r="M19" s="598"/>
      <c r="N19" s="587">
        <f t="shared" si="3"/>
        <v>0</v>
      </c>
      <c r="O19" s="603"/>
      <c r="P19" s="598"/>
      <c r="Q19" s="587">
        <f t="shared" si="4"/>
        <v>0</v>
      </c>
      <c r="R19" s="603"/>
      <c r="S19" s="598"/>
      <c r="T19" s="587">
        <f t="shared" si="5"/>
        <v>0</v>
      </c>
      <c r="U19" s="603"/>
      <c r="V19" s="598"/>
      <c r="W19" s="587">
        <f t="shared" si="6"/>
        <v>0</v>
      </c>
      <c r="X19" s="603"/>
      <c r="Y19" s="598"/>
      <c r="Z19" s="587">
        <f t="shared" si="7"/>
        <v>0</v>
      </c>
      <c r="AA19" s="603"/>
      <c r="AB19" s="598"/>
      <c r="AC19" s="587">
        <f t="shared" si="8"/>
        <v>0</v>
      </c>
      <c r="AD19" s="603"/>
      <c r="AE19" s="598"/>
      <c r="AF19" s="587">
        <f t="shared" si="9"/>
        <v>0</v>
      </c>
      <c r="AG19" s="603"/>
      <c r="AH19" s="598"/>
      <c r="AI19" s="587">
        <f t="shared" si="10"/>
        <v>0</v>
      </c>
      <c r="AJ19" s="603"/>
      <c r="AK19" s="598"/>
      <c r="AL19" s="587">
        <f t="shared" si="11"/>
        <v>0</v>
      </c>
      <c r="AM19" s="576">
        <f t="shared" si="12"/>
        <v>0</v>
      </c>
      <c r="AN19" s="575">
        <f t="shared" si="13"/>
        <v>0</v>
      </c>
      <c r="AO19" s="575">
        <f t="shared" si="14"/>
        <v>0</v>
      </c>
    </row>
    <row r="20" spans="2:44" s="556" customFormat="1" ht="19" customHeight="1" x14ac:dyDescent="0.2">
      <c r="B20" s="633" t="s">
        <v>496</v>
      </c>
      <c r="C20" s="603"/>
      <c r="D20" s="598"/>
      <c r="E20" s="587">
        <f t="shared" si="0"/>
        <v>0</v>
      </c>
      <c r="F20" s="603"/>
      <c r="G20" s="598"/>
      <c r="H20" s="587">
        <f t="shared" si="1"/>
        <v>0</v>
      </c>
      <c r="I20" s="603"/>
      <c r="J20" s="598"/>
      <c r="K20" s="587">
        <f t="shared" si="2"/>
        <v>0</v>
      </c>
      <c r="L20" s="603"/>
      <c r="M20" s="598"/>
      <c r="N20" s="587">
        <f t="shared" si="3"/>
        <v>0</v>
      </c>
      <c r="O20" s="603"/>
      <c r="P20" s="598"/>
      <c r="Q20" s="587">
        <f t="shared" si="4"/>
        <v>0</v>
      </c>
      <c r="R20" s="603"/>
      <c r="S20" s="598"/>
      <c r="T20" s="587">
        <f t="shared" si="5"/>
        <v>0</v>
      </c>
      <c r="U20" s="603"/>
      <c r="V20" s="598"/>
      <c r="W20" s="587">
        <f t="shared" si="6"/>
        <v>0</v>
      </c>
      <c r="X20" s="603"/>
      <c r="Y20" s="598"/>
      <c r="Z20" s="587">
        <f t="shared" si="7"/>
        <v>0</v>
      </c>
      <c r="AA20" s="603"/>
      <c r="AB20" s="598"/>
      <c r="AC20" s="587">
        <f t="shared" si="8"/>
        <v>0</v>
      </c>
      <c r="AD20" s="603"/>
      <c r="AE20" s="598"/>
      <c r="AF20" s="587">
        <f t="shared" si="9"/>
        <v>0</v>
      </c>
      <c r="AG20" s="603"/>
      <c r="AH20" s="598"/>
      <c r="AI20" s="587">
        <f t="shared" si="10"/>
        <v>0</v>
      </c>
      <c r="AJ20" s="603"/>
      <c r="AK20" s="598"/>
      <c r="AL20" s="587">
        <f t="shared" si="11"/>
        <v>0</v>
      </c>
      <c r="AM20" s="576">
        <f t="shared" si="12"/>
        <v>0</v>
      </c>
      <c r="AN20" s="575">
        <f t="shared" si="13"/>
        <v>0</v>
      </c>
      <c r="AO20" s="575">
        <f t="shared" si="14"/>
        <v>0</v>
      </c>
    </row>
    <row r="21" spans="2:44" s="556" customFormat="1" ht="19" customHeight="1" thickBot="1" x14ac:dyDescent="0.25">
      <c r="B21" s="634" t="s">
        <v>16</v>
      </c>
      <c r="C21" s="602"/>
      <c r="D21" s="600"/>
      <c r="E21" s="599">
        <f t="shared" si="0"/>
        <v>0</v>
      </c>
      <c r="F21" s="602"/>
      <c r="G21" s="600"/>
      <c r="H21" s="599">
        <f t="shared" si="1"/>
        <v>0</v>
      </c>
      <c r="I21" s="602"/>
      <c r="J21" s="600"/>
      <c r="K21" s="599">
        <f t="shared" si="2"/>
        <v>0</v>
      </c>
      <c r="L21" s="602"/>
      <c r="M21" s="600"/>
      <c r="N21" s="587">
        <f t="shared" si="3"/>
        <v>0</v>
      </c>
      <c r="O21" s="602"/>
      <c r="P21" s="600"/>
      <c r="Q21" s="599">
        <f t="shared" si="4"/>
        <v>0</v>
      </c>
      <c r="R21" s="602"/>
      <c r="S21" s="600"/>
      <c r="T21" s="587">
        <f t="shared" si="5"/>
        <v>0</v>
      </c>
      <c r="U21" s="602"/>
      <c r="V21" s="600"/>
      <c r="W21" s="599">
        <f t="shared" si="6"/>
        <v>0</v>
      </c>
      <c r="X21" s="602"/>
      <c r="Y21" s="600"/>
      <c r="Z21" s="601">
        <f t="shared" si="7"/>
        <v>0</v>
      </c>
      <c r="AA21" s="602"/>
      <c r="AB21" s="600"/>
      <c r="AC21" s="599">
        <f t="shared" si="8"/>
        <v>0</v>
      </c>
      <c r="AD21" s="602"/>
      <c r="AE21" s="600"/>
      <c r="AF21" s="587">
        <f t="shared" si="9"/>
        <v>0</v>
      </c>
      <c r="AG21" s="602"/>
      <c r="AH21" s="600"/>
      <c r="AI21" s="587">
        <f t="shared" si="10"/>
        <v>0</v>
      </c>
      <c r="AJ21" s="602"/>
      <c r="AK21" s="600"/>
      <c r="AL21" s="587">
        <f t="shared" si="11"/>
        <v>0</v>
      </c>
      <c r="AM21" s="576">
        <f t="shared" si="12"/>
        <v>0</v>
      </c>
      <c r="AN21" s="575">
        <f t="shared" si="13"/>
        <v>0</v>
      </c>
      <c r="AO21" s="575">
        <f t="shared" si="14"/>
        <v>0</v>
      </c>
    </row>
    <row r="22" spans="2:44" s="556" customFormat="1" ht="19" customHeight="1" thickBot="1" x14ac:dyDescent="0.25">
      <c r="B22" s="597" t="s">
        <v>495</v>
      </c>
      <c r="C22" s="572">
        <f t="shared" ref="C22:AO22" si="15">SUM(C6:C21)</f>
        <v>0</v>
      </c>
      <c r="D22" s="572">
        <f t="shared" si="15"/>
        <v>0</v>
      </c>
      <c r="E22" s="572">
        <f t="shared" si="15"/>
        <v>0</v>
      </c>
      <c r="F22" s="572">
        <f t="shared" si="15"/>
        <v>0</v>
      </c>
      <c r="G22" s="572">
        <f t="shared" si="15"/>
        <v>0</v>
      </c>
      <c r="H22" s="572">
        <f t="shared" si="15"/>
        <v>0</v>
      </c>
      <c r="I22" s="572">
        <f t="shared" si="15"/>
        <v>0</v>
      </c>
      <c r="J22" s="572">
        <f t="shared" si="15"/>
        <v>0</v>
      </c>
      <c r="K22" s="572">
        <f t="shared" si="15"/>
        <v>0</v>
      </c>
      <c r="L22" s="572">
        <f t="shared" si="15"/>
        <v>0</v>
      </c>
      <c r="M22" s="572">
        <f t="shared" si="15"/>
        <v>0</v>
      </c>
      <c r="N22" s="572">
        <f t="shared" si="15"/>
        <v>0</v>
      </c>
      <c r="O22" s="572">
        <f t="shared" si="15"/>
        <v>0</v>
      </c>
      <c r="P22" s="572">
        <f t="shared" si="15"/>
        <v>0</v>
      </c>
      <c r="Q22" s="572">
        <f t="shared" si="15"/>
        <v>0</v>
      </c>
      <c r="R22" s="572">
        <f t="shared" si="15"/>
        <v>0</v>
      </c>
      <c r="S22" s="572">
        <f t="shared" si="15"/>
        <v>0</v>
      </c>
      <c r="T22" s="572">
        <f t="shared" si="15"/>
        <v>0</v>
      </c>
      <c r="U22" s="572">
        <f t="shared" si="15"/>
        <v>0</v>
      </c>
      <c r="V22" s="572">
        <f t="shared" si="15"/>
        <v>0</v>
      </c>
      <c r="W22" s="572">
        <f t="shared" si="15"/>
        <v>0</v>
      </c>
      <c r="X22" s="572">
        <f t="shared" si="15"/>
        <v>0</v>
      </c>
      <c r="Y22" s="572">
        <f t="shared" si="15"/>
        <v>0</v>
      </c>
      <c r="Z22" s="572">
        <f t="shared" si="15"/>
        <v>0</v>
      </c>
      <c r="AA22" s="572">
        <f t="shared" si="15"/>
        <v>0</v>
      </c>
      <c r="AB22" s="572">
        <f t="shared" si="15"/>
        <v>0</v>
      </c>
      <c r="AC22" s="572">
        <f t="shared" si="15"/>
        <v>0</v>
      </c>
      <c r="AD22" s="572">
        <f t="shared" si="15"/>
        <v>0</v>
      </c>
      <c r="AE22" s="572">
        <f t="shared" si="15"/>
        <v>0</v>
      </c>
      <c r="AF22" s="572">
        <f t="shared" si="15"/>
        <v>0</v>
      </c>
      <c r="AG22" s="572">
        <f t="shared" si="15"/>
        <v>0</v>
      </c>
      <c r="AH22" s="572">
        <f t="shared" si="15"/>
        <v>0</v>
      </c>
      <c r="AI22" s="572">
        <f t="shared" si="15"/>
        <v>0</v>
      </c>
      <c r="AJ22" s="572">
        <f t="shared" si="15"/>
        <v>0</v>
      </c>
      <c r="AK22" s="642">
        <f t="shared" si="15"/>
        <v>0</v>
      </c>
      <c r="AL22" s="572">
        <f t="shared" si="15"/>
        <v>0</v>
      </c>
      <c r="AM22" s="576">
        <f t="shared" si="12"/>
        <v>0</v>
      </c>
      <c r="AN22" s="572">
        <f t="shared" si="15"/>
        <v>0</v>
      </c>
      <c r="AO22" s="572">
        <f t="shared" si="15"/>
        <v>0</v>
      </c>
      <c r="AP22" s="558"/>
    </row>
    <row r="23" spans="2:44" ht="19.5" customHeight="1" thickBot="1" x14ac:dyDescent="0.2">
      <c r="B23" s="596" t="s">
        <v>350</v>
      </c>
      <c r="C23" s="595"/>
      <c r="D23" s="595"/>
      <c r="E23" s="595"/>
      <c r="F23" s="595"/>
      <c r="G23" s="595"/>
      <c r="H23" s="595"/>
      <c r="I23" s="595"/>
      <c r="J23" s="595"/>
      <c r="K23" s="595"/>
      <c r="L23" s="595"/>
      <c r="M23" s="595"/>
      <c r="N23" s="595"/>
      <c r="O23" s="595"/>
      <c r="P23" s="595"/>
      <c r="Q23" s="595"/>
      <c r="R23" s="595"/>
      <c r="S23" s="595"/>
      <c r="T23" s="595"/>
      <c r="U23" s="595"/>
      <c r="V23" s="595"/>
      <c r="W23" s="595"/>
      <c r="X23" s="595"/>
      <c r="Y23" s="595"/>
      <c r="Z23" s="595"/>
      <c r="AA23" s="595"/>
      <c r="AB23" s="595"/>
      <c r="AC23" s="595"/>
      <c r="AD23" s="595"/>
      <c r="AE23" s="595"/>
      <c r="AF23" s="595"/>
      <c r="AG23" s="595"/>
      <c r="AH23" s="595"/>
      <c r="AI23" s="595"/>
      <c r="AJ23" s="595"/>
      <c r="AK23" s="595"/>
      <c r="AL23" s="595"/>
      <c r="AM23" s="595"/>
      <c r="AN23" s="594"/>
      <c r="AO23" s="594"/>
    </row>
    <row r="24" spans="2:44" ht="19" customHeight="1" thickBot="1" x14ac:dyDescent="0.25">
      <c r="B24" s="635" t="s">
        <v>494</v>
      </c>
      <c r="C24" s="592"/>
      <c r="D24" s="591"/>
      <c r="E24" s="590" t="s">
        <v>350</v>
      </c>
      <c r="F24" s="592"/>
      <c r="G24" s="591"/>
      <c r="H24" s="590" t="s">
        <v>350</v>
      </c>
      <c r="I24" s="592"/>
      <c r="J24" s="591"/>
      <c r="K24" s="593" t="s">
        <v>350</v>
      </c>
      <c r="L24" s="592"/>
      <c r="M24" s="591"/>
      <c r="N24" s="590" t="s">
        <v>350</v>
      </c>
      <c r="O24" s="592"/>
      <c r="P24" s="591"/>
      <c r="Q24" s="593" t="s">
        <v>350</v>
      </c>
      <c r="R24" s="592"/>
      <c r="S24" s="591"/>
      <c r="T24" s="590" t="s">
        <v>350</v>
      </c>
      <c r="U24" s="592"/>
      <c r="V24" s="591"/>
      <c r="W24" s="590" t="s">
        <v>350</v>
      </c>
      <c r="X24" s="592"/>
      <c r="Y24" s="591"/>
      <c r="Z24" s="590" t="s">
        <v>350</v>
      </c>
      <c r="AA24" s="592"/>
      <c r="AB24" s="591"/>
      <c r="AC24" s="590" t="s">
        <v>350</v>
      </c>
      <c r="AD24" s="592"/>
      <c r="AE24" s="591"/>
      <c r="AF24" s="590" t="s">
        <v>350</v>
      </c>
      <c r="AG24" s="592"/>
      <c r="AH24" s="591"/>
      <c r="AI24" s="590" t="s">
        <v>350</v>
      </c>
      <c r="AJ24" s="592"/>
      <c r="AK24" s="591"/>
      <c r="AL24" s="590" t="s">
        <v>350</v>
      </c>
      <c r="AM24" s="589" t="s">
        <v>350</v>
      </c>
      <c r="AN24" s="588">
        <f>D24+G24+J24+M24+V24+Y24</f>
        <v>0</v>
      </c>
      <c r="AO24" s="588" t="s">
        <v>350</v>
      </c>
      <c r="AP24" s="558"/>
    </row>
    <row r="25" spans="2:44" ht="19" customHeight="1" x14ac:dyDescent="0.2">
      <c r="B25" s="646" t="s">
        <v>367</v>
      </c>
      <c r="C25" s="644"/>
      <c r="D25" s="645"/>
      <c r="E25" s="586">
        <f t="shared" ref="E25:E31" si="16">D25-C25</f>
        <v>0</v>
      </c>
      <c r="F25" s="644"/>
      <c r="G25" s="645"/>
      <c r="H25" s="586">
        <f t="shared" ref="H25:H31" si="17">G25-F25</f>
        <v>0</v>
      </c>
      <c r="I25" s="644"/>
      <c r="J25" s="645"/>
      <c r="K25" s="586">
        <f t="shared" ref="K25:K31" si="18">J25-I25</f>
        <v>0</v>
      </c>
      <c r="L25" s="644"/>
      <c r="M25" s="645"/>
      <c r="N25" s="586">
        <f t="shared" ref="N25:N31" si="19">M25-L25</f>
        <v>0</v>
      </c>
      <c r="O25" s="644"/>
      <c r="P25" s="645"/>
      <c r="Q25" s="586">
        <f t="shared" ref="Q25:Q31" si="20">P25-O25</f>
        <v>0</v>
      </c>
      <c r="R25" s="644"/>
      <c r="S25" s="645"/>
      <c r="T25" s="586">
        <f t="shared" ref="T25:T31" si="21">S25-R25</f>
        <v>0</v>
      </c>
      <c r="U25" s="644"/>
      <c r="V25" s="645"/>
      <c r="W25" s="586">
        <f t="shared" ref="W25:W31" si="22">V25-U25</f>
        <v>0</v>
      </c>
      <c r="X25" s="644"/>
      <c r="Y25" s="645"/>
      <c r="Z25" s="586">
        <f t="shared" ref="Z25:Z31" si="23">Y25-X25</f>
        <v>0</v>
      </c>
      <c r="AA25" s="644"/>
      <c r="AB25" s="645"/>
      <c r="AC25" s="586">
        <f t="shared" ref="AC25:AC31" si="24">AB25-AA25</f>
        <v>0</v>
      </c>
      <c r="AD25" s="644"/>
      <c r="AE25" s="645"/>
      <c r="AF25" s="587">
        <f t="shared" ref="AF25:AF31" si="25">AE25-AD25</f>
        <v>0</v>
      </c>
      <c r="AG25" s="644"/>
      <c r="AH25" s="645"/>
      <c r="AI25" s="586">
        <f t="shared" ref="AI25:AI31" si="26">AH25-AG25</f>
        <v>0</v>
      </c>
      <c r="AJ25" s="644"/>
      <c r="AK25" s="645"/>
      <c r="AL25" s="586">
        <f t="shared" ref="AL25:AL31" si="27">AK25-AJ25</f>
        <v>0</v>
      </c>
      <c r="AM25" s="576">
        <f t="shared" ref="AM25:AN31" si="28">C25+F25+I25+L25+U25+X25+O25+R25+AA25+AD25+AG25+AJ25</f>
        <v>0</v>
      </c>
      <c r="AN25" s="575">
        <f t="shared" si="28"/>
        <v>0</v>
      </c>
      <c r="AO25" s="574">
        <f t="shared" ref="AO25:AO31" si="29">AN25-AM25</f>
        <v>0</v>
      </c>
      <c r="AP25" s="558"/>
    </row>
    <row r="26" spans="2:44" ht="19" customHeight="1" x14ac:dyDescent="0.2">
      <c r="B26" s="646" t="s">
        <v>493</v>
      </c>
      <c r="C26" s="680"/>
      <c r="D26" s="645"/>
      <c r="E26" s="579">
        <f t="shared" si="16"/>
        <v>0</v>
      </c>
      <c r="F26" s="643"/>
      <c r="G26" s="645"/>
      <c r="H26" s="579">
        <f t="shared" si="17"/>
        <v>0</v>
      </c>
      <c r="I26" s="643"/>
      <c r="J26" s="645"/>
      <c r="K26" s="579">
        <f t="shared" si="18"/>
        <v>0</v>
      </c>
      <c r="L26" s="643"/>
      <c r="M26" s="645"/>
      <c r="N26" s="579">
        <f t="shared" si="19"/>
        <v>0</v>
      </c>
      <c r="O26" s="643"/>
      <c r="P26" s="645"/>
      <c r="Q26" s="579">
        <f t="shared" si="20"/>
        <v>0</v>
      </c>
      <c r="R26" s="643"/>
      <c r="S26" s="645"/>
      <c r="T26" s="579">
        <f t="shared" si="21"/>
        <v>0</v>
      </c>
      <c r="U26" s="643"/>
      <c r="V26" s="645"/>
      <c r="W26" s="579">
        <f t="shared" si="22"/>
        <v>0</v>
      </c>
      <c r="X26" s="643"/>
      <c r="Y26" s="645"/>
      <c r="Z26" s="579">
        <f t="shared" si="23"/>
        <v>0</v>
      </c>
      <c r="AA26" s="643"/>
      <c r="AB26" s="645"/>
      <c r="AC26" s="579">
        <f t="shared" si="24"/>
        <v>0</v>
      </c>
      <c r="AD26" s="643"/>
      <c r="AE26" s="645"/>
      <c r="AF26" s="579">
        <f t="shared" si="25"/>
        <v>0</v>
      </c>
      <c r="AG26" s="643"/>
      <c r="AH26" s="645"/>
      <c r="AI26" s="579">
        <f t="shared" si="26"/>
        <v>0</v>
      </c>
      <c r="AJ26" s="643"/>
      <c r="AK26" s="645"/>
      <c r="AL26" s="579">
        <f t="shared" si="27"/>
        <v>0</v>
      </c>
      <c r="AM26" s="576">
        <f>C26+F26+I26+L26+U26+X26+O26+R26+AA26+AD26+AG26+AJ26</f>
        <v>0</v>
      </c>
      <c r="AN26" s="575">
        <f t="shared" si="28"/>
        <v>0</v>
      </c>
      <c r="AO26" s="574">
        <f t="shared" si="29"/>
        <v>0</v>
      </c>
      <c r="AP26" s="558"/>
    </row>
    <row r="27" spans="2:44" ht="19" customHeight="1" x14ac:dyDescent="0.2">
      <c r="B27" s="646" t="s">
        <v>492</v>
      </c>
      <c r="C27" s="644"/>
      <c r="D27" s="645"/>
      <c r="E27" s="579">
        <f t="shared" si="16"/>
        <v>0</v>
      </c>
      <c r="F27" s="644"/>
      <c r="G27" s="645"/>
      <c r="H27" s="579">
        <f t="shared" si="17"/>
        <v>0</v>
      </c>
      <c r="I27" s="644"/>
      <c r="J27" s="645"/>
      <c r="K27" s="579">
        <f t="shared" si="18"/>
        <v>0</v>
      </c>
      <c r="L27" s="644"/>
      <c r="M27" s="645"/>
      <c r="N27" s="579">
        <f t="shared" si="19"/>
        <v>0</v>
      </c>
      <c r="O27" s="644"/>
      <c r="P27" s="645"/>
      <c r="Q27" s="579">
        <f t="shared" si="20"/>
        <v>0</v>
      </c>
      <c r="R27" s="644"/>
      <c r="S27" s="645"/>
      <c r="T27" s="579">
        <f t="shared" si="21"/>
        <v>0</v>
      </c>
      <c r="U27" s="644"/>
      <c r="V27" s="645"/>
      <c r="W27" s="579">
        <f t="shared" si="22"/>
        <v>0</v>
      </c>
      <c r="X27" s="644"/>
      <c r="Y27" s="645"/>
      <c r="Z27" s="579">
        <f t="shared" si="23"/>
        <v>0</v>
      </c>
      <c r="AA27" s="644"/>
      <c r="AB27" s="645"/>
      <c r="AC27" s="579">
        <f t="shared" si="24"/>
        <v>0</v>
      </c>
      <c r="AD27" s="644"/>
      <c r="AE27" s="645"/>
      <c r="AF27" s="579">
        <f t="shared" si="25"/>
        <v>0</v>
      </c>
      <c r="AG27" s="644"/>
      <c r="AH27" s="645"/>
      <c r="AI27" s="579">
        <f t="shared" si="26"/>
        <v>0</v>
      </c>
      <c r="AJ27" s="644"/>
      <c r="AK27" s="645"/>
      <c r="AL27" s="579">
        <f t="shared" si="27"/>
        <v>0</v>
      </c>
      <c r="AM27" s="576">
        <f t="shared" si="28"/>
        <v>0</v>
      </c>
      <c r="AN27" s="575">
        <f t="shared" si="28"/>
        <v>0</v>
      </c>
      <c r="AO27" s="574">
        <f t="shared" si="29"/>
        <v>0</v>
      </c>
      <c r="AP27" s="585"/>
    </row>
    <row r="28" spans="2:44" ht="19" customHeight="1" x14ac:dyDescent="0.2">
      <c r="B28" s="646" t="s">
        <v>516</v>
      </c>
      <c r="C28" s="643"/>
      <c r="D28" s="645"/>
      <c r="E28" s="579">
        <f t="shared" si="16"/>
        <v>0</v>
      </c>
      <c r="F28" s="643"/>
      <c r="G28" s="645"/>
      <c r="H28" s="579">
        <f t="shared" si="17"/>
        <v>0</v>
      </c>
      <c r="I28" s="643"/>
      <c r="J28" s="645"/>
      <c r="K28" s="579">
        <f t="shared" si="18"/>
        <v>0</v>
      </c>
      <c r="L28" s="643"/>
      <c r="M28" s="645"/>
      <c r="N28" s="579">
        <f t="shared" si="19"/>
        <v>0</v>
      </c>
      <c r="O28" s="643"/>
      <c r="P28" s="645"/>
      <c r="Q28" s="579">
        <f t="shared" si="20"/>
        <v>0</v>
      </c>
      <c r="R28" s="643"/>
      <c r="S28" s="645"/>
      <c r="T28" s="579">
        <f t="shared" si="21"/>
        <v>0</v>
      </c>
      <c r="U28" s="643"/>
      <c r="V28" s="645"/>
      <c r="W28" s="579">
        <f t="shared" si="22"/>
        <v>0</v>
      </c>
      <c r="X28" s="643"/>
      <c r="Y28" s="645"/>
      <c r="Z28" s="579">
        <f t="shared" si="23"/>
        <v>0</v>
      </c>
      <c r="AA28" s="643"/>
      <c r="AB28" s="645"/>
      <c r="AC28" s="579">
        <f t="shared" si="24"/>
        <v>0</v>
      </c>
      <c r="AD28" s="643"/>
      <c r="AE28" s="645"/>
      <c r="AF28" s="579">
        <f t="shared" si="25"/>
        <v>0</v>
      </c>
      <c r="AG28" s="643"/>
      <c r="AH28" s="645"/>
      <c r="AI28" s="579">
        <f t="shared" si="26"/>
        <v>0</v>
      </c>
      <c r="AJ28" s="643"/>
      <c r="AK28" s="645"/>
      <c r="AL28" s="579">
        <f t="shared" si="27"/>
        <v>0</v>
      </c>
      <c r="AM28" s="576">
        <f t="shared" si="28"/>
        <v>0</v>
      </c>
      <c r="AN28" s="575">
        <f t="shared" si="28"/>
        <v>0</v>
      </c>
      <c r="AO28" s="574">
        <f t="shared" si="29"/>
        <v>0</v>
      </c>
      <c r="AP28" s="558"/>
    </row>
    <row r="29" spans="2:44" ht="19" customHeight="1" x14ac:dyDescent="0.2">
      <c r="B29" s="646" t="s">
        <v>372</v>
      </c>
      <c r="C29" s="644"/>
      <c r="D29" s="645"/>
      <c r="E29" s="579">
        <f t="shared" si="16"/>
        <v>0</v>
      </c>
      <c r="F29" s="644"/>
      <c r="G29" s="645"/>
      <c r="H29" s="579">
        <f t="shared" si="17"/>
        <v>0</v>
      </c>
      <c r="I29" s="644"/>
      <c r="J29" s="645"/>
      <c r="K29" s="579">
        <f t="shared" si="18"/>
        <v>0</v>
      </c>
      <c r="L29" s="644"/>
      <c r="M29" s="645"/>
      <c r="N29" s="579">
        <f t="shared" si="19"/>
        <v>0</v>
      </c>
      <c r="O29" s="644"/>
      <c r="P29" s="645"/>
      <c r="Q29" s="579">
        <f t="shared" si="20"/>
        <v>0</v>
      </c>
      <c r="R29" s="644"/>
      <c r="S29" s="645"/>
      <c r="T29" s="579">
        <f t="shared" si="21"/>
        <v>0</v>
      </c>
      <c r="U29" s="644"/>
      <c r="V29" s="645"/>
      <c r="W29" s="579">
        <f t="shared" si="22"/>
        <v>0</v>
      </c>
      <c r="X29" s="644"/>
      <c r="Y29" s="645"/>
      <c r="Z29" s="579">
        <f t="shared" si="23"/>
        <v>0</v>
      </c>
      <c r="AA29" s="644"/>
      <c r="AB29" s="645"/>
      <c r="AC29" s="579">
        <f t="shared" si="24"/>
        <v>0</v>
      </c>
      <c r="AD29" s="644"/>
      <c r="AE29" s="645"/>
      <c r="AF29" s="579">
        <f t="shared" si="25"/>
        <v>0</v>
      </c>
      <c r="AG29" s="644"/>
      <c r="AH29" s="645"/>
      <c r="AI29" s="579">
        <f t="shared" si="26"/>
        <v>0</v>
      </c>
      <c r="AJ29" s="644"/>
      <c r="AK29" s="645"/>
      <c r="AL29" s="579">
        <f t="shared" si="27"/>
        <v>0</v>
      </c>
      <c r="AM29" s="576">
        <f t="shared" si="28"/>
        <v>0</v>
      </c>
      <c r="AN29" s="575">
        <f t="shared" si="28"/>
        <v>0</v>
      </c>
      <c r="AO29" s="574">
        <f t="shared" si="29"/>
        <v>0</v>
      </c>
      <c r="AP29" s="558"/>
    </row>
    <row r="30" spans="2:44" ht="19" customHeight="1" x14ac:dyDescent="0.2">
      <c r="B30" s="646" t="s">
        <v>491</v>
      </c>
      <c r="C30" s="643"/>
      <c r="D30" s="645"/>
      <c r="E30" s="579">
        <f t="shared" si="16"/>
        <v>0</v>
      </c>
      <c r="F30" s="643"/>
      <c r="G30" s="645"/>
      <c r="H30" s="579">
        <f t="shared" si="17"/>
        <v>0</v>
      </c>
      <c r="I30" s="643"/>
      <c r="J30" s="645"/>
      <c r="K30" s="579">
        <f t="shared" si="18"/>
        <v>0</v>
      </c>
      <c r="L30" s="643"/>
      <c r="M30" s="645"/>
      <c r="N30" s="579">
        <f t="shared" si="19"/>
        <v>0</v>
      </c>
      <c r="O30" s="643"/>
      <c r="P30" s="645"/>
      <c r="Q30" s="579">
        <f t="shared" si="20"/>
        <v>0</v>
      </c>
      <c r="R30" s="643"/>
      <c r="S30" s="645"/>
      <c r="T30" s="579">
        <f t="shared" si="21"/>
        <v>0</v>
      </c>
      <c r="U30" s="643"/>
      <c r="V30" s="645"/>
      <c r="W30" s="579">
        <f t="shared" si="22"/>
        <v>0</v>
      </c>
      <c r="X30" s="643"/>
      <c r="Y30" s="645"/>
      <c r="Z30" s="579">
        <f t="shared" si="23"/>
        <v>0</v>
      </c>
      <c r="AA30" s="643"/>
      <c r="AB30" s="645"/>
      <c r="AC30" s="579">
        <f t="shared" si="24"/>
        <v>0</v>
      </c>
      <c r="AD30" s="643"/>
      <c r="AE30" s="645"/>
      <c r="AF30" s="579">
        <f t="shared" si="25"/>
        <v>0</v>
      </c>
      <c r="AG30" s="643"/>
      <c r="AH30" s="645"/>
      <c r="AI30" s="579">
        <f t="shared" si="26"/>
        <v>0</v>
      </c>
      <c r="AJ30" s="643"/>
      <c r="AK30" s="645"/>
      <c r="AL30" s="579">
        <f t="shared" si="27"/>
        <v>0</v>
      </c>
      <c r="AM30" s="576">
        <f t="shared" si="28"/>
        <v>0</v>
      </c>
      <c r="AN30" s="575">
        <f t="shared" si="28"/>
        <v>0</v>
      </c>
      <c r="AO30" s="574">
        <f t="shared" si="29"/>
        <v>0</v>
      </c>
      <c r="AP30" s="558"/>
    </row>
    <row r="31" spans="2:44" ht="19" customHeight="1" x14ac:dyDescent="0.2">
      <c r="B31" s="646" t="s">
        <v>16</v>
      </c>
      <c r="C31" s="644"/>
      <c r="D31" s="645"/>
      <c r="E31" s="579">
        <f t="shared" si="16"/>
        <v>0</v>
      </c>
      <c r="F31" s="644"/>
      <c r="G31" s="645"/>
      <c r="H31" s="579">
        <f t="shared" si="17"/>
        <v>0</v>
      </c>
      <c r="I31" s="644"/>
      <c r="J31" s="645"/>
      <c r="K31" s="579">
        <f t="shared" si="18"/>
        <v>0</v>
      </c>
      <c r="L31" s="644"/>
      <c r="M31" s="645"/>
      <c r="N31" s="579">
        <f t="shared" si="19"/>
        <v>0</v>
      </c>
      <c r="O31" s="644"/>
      <c r="P31" s="645"/>
      <c r="Q31" s="579">
        <f t="shared" si="20"/>
        <v>0</v>
      </c>
      <c r="R31" s="644"/>
      <c r="S31" s="645"/>
      <c r="T31" s="579">
        <f t="shared" si="21"/>
        <v>0</v>
      </c>
      <c r="U31" s="644"/>
      <c r="V31" s="645"/>
      <c r="W31" s="579">
        <f t="shared" si="22"/>
        <v>0</v>
      </c>
      <c r="X31" s="644"/>
      <c r="Y31" s="645"/>
      <c r="Z31" s="579">
        <f t="shared" si="23"/>
        <v>0</v>
      </c>
      <c r="AA31" s="644"/>
      <c r="AB31" s="645"/>
      <c r="AC31" s="579">
        <f t="shared" si="24"/>
        <v>0</v>
      </c>
      <c r="AD31" s="644"/>
      <c r="AE31" s="645"/>
      <c r="AF31" s="579">
        <f t="shared" si="25"/>
        <v>0</v>
      </c>
      <c r="AG31" s="644"/>
      <c r="AH31" s="645"/>
      <c r="AI31" s="579">
        <f t="shared" si="26"/>
        <v>0</v>
      </c>
      <c r="AJ31" s="644"/>
      <c r="AK31" s="645"/>
      <c r="AL31" s="579">
        <f t="shared" si="27"/>
        <v>0</v>
      </c>
      <c r="AM31" s="576">
        <f t="shared" si="28"/>
        <v>0</v>
      </c>
      <c r="AN31" s="575">
        <f t="shared" si="28"/>
        <v>0</v>
      </c>
      <c r="AO31" s="574">
        <f t="shared" si="29"/>
        <v>0</v>
      </c>
      <c r="AP31" s="558"/>
    </row>
    <row r="32" spans="2:44" s="556" customFormat="1" ht="19" customHeight="1" x14ac:dyDescent="0.2">
      <c r="B32" s="636" t="s">
        <v>490</v>
      </c>
      <c r="C32" s="581"/>
      <c r="D32" s="581"/>
      <c r="E32" s="581" t="s">
        <v>350</v>
      </c>
      <c r="F32" s="581"/>
      <c r="G32" s="581"/>
      <c r="H32" s="581" t="s">
        <v>350</v>
      </c>
      <c r="I32" s="581"/>
      <c r="J32" s="581"/>
      <c r="K32" s="581" t="s">
        <v>350</v>
      </c>
      <c r="L32" s="581"/>
      <c r="M32" s="581"/>
      <c r="N32" s="581" t="s">
        <v>350</v>
      </c>
      <c r="O32" s="581"/>
      <c r="P32" s="581"/>
      <c r="Q32" s="581" t="s">
        <v>350</v>
      </c>
      <c r="R32" s="581"/>
      <c r="S32" s="581"/>
      <c r="T32" s="581" t="s">
        <v>350</v>
      </c>
      <c r="U32" s="581"/>
      <c r="V32" s="581"/>
      <c r="W32" s="581" t="s">
        <v>350</v>
      </c>
      <c r="X32" s="581"/>
      <c r="Y32" s="581"/>
      <c r="Z32" s="581" t="s">
        <v>350</v>
      </c>
      <c r="AA32" s="581"/>
      <c r="AB32" s="581"/>
      <c r="AC32" s="581" t="s">
        <v>350</v>
      </c>
      <c r="AD32" s="581"/>
      <c r="AE32" s="581"/>
      <c r="AF32" s="581" t="s">
        <v>350</v>
      </c>
      <c r="AG32" s="581"/>
      <c r="AH32" s="581"/>
      <c r="AI32" s="581" t="s">
        <v>350</v>
      </c>
      <c r="AJ32" s="581"/>
      <c r="AK32" s="581"/>
      <c r="AL32" s="581" t="s">
        <v>350</v>
      </c>
      <c r="AM32" s="584" t="s">
        <v>350</v>
      </c>
      <c r="AN32" s="580" t="s">
        <v>350</v>
      </c>
      <c r="AO32" s="580" t="s">
        <v>350</v>
      </c>
      <c r="AP32" s="558"/>
    </row>
    <row r="33" spans="2:42" ht="19" hidden="1" customHeight="1" x14ac:dyDescent="0.2">
      <c r="B33" s="637" t="s">
        <v>490</v>
      </c>
      <c r="C33" s="631"/>
      <c r="D33" s="632"/>
      <c r="E33" s="579">
        <f t="shared" ref="E33:E48" si="30">D33-C33</f>
        <v>0</v>
      </c>
      <c r="F33" s="631"/>
      <c r="G33" s="632"/>
      <c r="H33" s="579">
        <f t="shared" ref="H33:H48" si="31">G33-F33</f>
        <v>0</v>
      </c>
      <c r="I33" s="631"/>
      <c r="J33" s="632"/>
      <c r="K33" s="579">
        <f t="shared" ref="K33:K48" si="32">J33-I33</f>
        <v>0</v>
      </c>
      <c r="L33" s="631"/>
      <c r="M33" s="632"/>
      <c r="N33" s="579">
        <f t="shared" ref="N33:N48" si="33">M33-L33</f>
        <v>0</v>
      </c>
      <c r="O33" s="631"/>
      <c r="P33" s="632"/>
      <c r="Q33" s="579">
        <f t="shared" ref="Q33:Q48" si="34">P33-O33</f>
        <v>0</v>
      </c>
      <c r="R33" s="631"/>
      <c r="S33" s="632"/>
      <c r="T33" s="579">
        <f t="shared" ref="T33:T48" si="35">S33-R33</f>
        <v>0</v>
      </c>
      <c r="U33" s="631"/>
      <c r="V33" s="632"/>
      <c r="W33" s="579">
        <f t="shared" ref="W33:W48" si="36">V33-U33</f>
        <v>0</v>
      </c>
      <c r="X33" s="631"/>
      <c r="Y33" s="632"/>
      <c r="Z33" s="579">
        <f t="shared" ref="Z33:Z48" si="37">Y33-X33</f>
        <v>0</v>
      </c>
      <c r="AA33" s="631"/>
      <c r="AB33" s="632"/>
      <c r="AC33" s="579">
        <f t="shared" ref="AC33:AC48" si="38">AB33-AA33</f>
        <v>0</v>
      </c>
      <c r="AD33" s="631"/>
      <c r="AE33" s="632"/>
      <c r="AF33" s="579">
        <f t="shared" ref="AF33:AF48" si="39">AE33-AD33</f>
        <v>0</v>
      </c>
      <c r="AG33" s="631"/>
      <c r="AH33" s="632"/>
      <c r="AI33" s="579">
        <f t="shared" ref="AI33:AI48" si="40">AH33-AG33</f>
        <v>0</v>
      </c>
      <c r="AJ33" s="631"/>
      <c r="AK33" s="632"/>
      <c r="AL33" s="579">
        <f t="shared" ref="AL33:AL48" si="41">AK33-AJ33</f>
        <v>0</v>
      </c>
      <c r="AM33" s="576">
        <f>C33+F33+I33+L33+U33+X33</f>
        <v>0</v>
      </c>
      <c r="AN33" s="575">
        <f>D33+G33+J33+M33+V33+Y33</f>
        <v>0</v>
      </c>
      <c r="AO33" s="575">
        <f>E33+H33+K33+N33+W33+Z33</f>
        <v>0</v>
      </c>
      <c r="AP33" s="558"/>
    </row>
    <row r="34" spans="2:42" ht="19" customHeight="1" x14ac:dyDescent="0.2">
      <c r="B34" s="646" t="s">
        <v>376</v>
      </c>
      <c r="C34" s="643"/>
      <c r="D34" s="645"/>
      <c r="E34" s="579">
        <f t="shared" si="30"/>
        <v>0</v>
      </c>
      <c r="F34" s="643"/>
      <c r="G34" s="645"/>
      <c r="H34" s="579">
        <f t="shared" si="31"/>
        <v>0</v>
      </c>
      <c r="I34" s="643"/>
      <c r="J34" s="645"/>
      <c r="K34" s="579">
        <f t="shared" si="32"/>
        <v>0</v>
      </c>
      <c r="L34" s="643"/>
      <c r="M34" s="645"/>
      <c r="N34" s="579">
        <f t="shared" si="33"/>
        <v>0</v>
      </c>
      <c r="O34" s="643"/>
      <c r="P34" s="645"/>
      <c r="Q34" s="579">
        <f t="shared" si="34"/>
        <v>0</v>
      </c>
      <c r="R34" s="643"/>
      <c r="S34" s="645"/>
      <c r="T34" s="579">
        <f t="shared" si="35"/>
        <v>0</v>
      </c>
      <c r="U34" s="643"/>
      <c r="V34" s="645"/>
      <c r="W34" s="579">
        <f t="shared" si="36"/>
        <v>0</v>
      </c>
      <c r="X34" s="643"/>
      <c r="Y34" s="645"/>
      <c r="Z34" s="579">
        <f t="shared" si="37"/>
        <v>0</v>
      </c>
      <c r="AA34" s="643"/>
      <c r="AB34" s="645"/>
      <c r="AC34" s="579">
        <f t="shared" si="38"/>
        <v>0</v>
      </c>
      <c r="AD34" s="643"/>
      <c r="AE34" s="645"/>
      <c r="AF34" s="579">
        <f t="shared" si="39"/>
        <v>0</v>
      </c>
      <c r="AG34" s="643"/>
      <c r="AH34" s="645"/>
      <c r="AI34" s="579">
        <f t="shared" si="40"/>
        <v>0</v>
      </c>
      <c r="AJ34" s="643"/>
      <c r="AK34" s="645"/>
      <c r="AL34" s="579">
        <f t="shared" si="41"/>
        <v>0</v>
      </c>
      <c r="AM34" s="576">
        <f t="shared" ref="AM34:AM48" si="42">C34+F34+I34+L34+U34+X34+O34+R34+AA34+AD34+AG34+AJ34</f>
        <v>0</v>
      </c>
      <c r="AN34" s="575">
        <f t="shared" ref="AN34:AN48" si="43">D34+G34+J34+M34+V34+Y34+P34+S34+AB34+AE34+AH34+AK34</f>
        <v>0</v>
      </c>
      <c r="AO34" s="574">
        <f t="shared" ref="AO34:AO48" si="44">AN34-AM34</f>
        <v>0</v>
      </c>
      <c r="AP34" s="558"/>
    </row>
    <row r="35" spans="2:42" ht="19" customHeight="1" x14ac:dyDescent="0.2">
      <c r="B35" s="646" t="s">
        <v>377</v>
      </c>
      <c r="C35" s="643"/>
      <c r="D35" s="645"/>
      <c r="E35" s="579">
        <f t="shared" si="30"/>
        <v>0</v>
      </c>
      <c r="F35" s="643"/>
      <c r="G35" s="645"/>
      <c r="H35" s="579">
        <f t="shared" si="31"/>
        <v>0</v>
      </c>
      <c r="I35" s="643"/>
      <c r="J35" s="645"/>
      <c r="K35" s="579">
        <f t="shared" si="32"/>
        <v>0</v>
      </c>
      <c r="L35" s="643"/>
      <c r="M35" s="645"/>
      <c r="N35" s="579">
        <f t="shared" si="33"/>
        <v>0</v>
      </c>
      <c r="O35" s="643"/>
      <c r="P35" s="645"/>
      <c r="Q35" s="579">
        <f t="shared" si="34"/>
        <v>0</v>
      </c>
      <c r="R35" s="643"/>
      <c r="S35" s="645"/>
      <c r="T35" s="579">
        <f t="shared" si="35"/>
        <v>0</v>
      </c>
      <c r="U35" s="643"/>
      <c r="V35" s="645"/>
      <c r="W35" s="579">
        <f t="shared" si="36"/>
        <v>0</v>
      </c>
      <c r="X35" s="643"/>
      <c r="Y35" s="645"/>
      <c r="Z35" s="579">
        <f t="shared" si="37"/>
        <v>0</v>
      </c>
      <c r="AA35" s="643"/>
      <c r="AB35" s="645"/>
      <c r="AC35" s="579">
        <f t="shared" si="38"/>
        <v>0</v>
      </c>
      <c r="AD35" s="643"/>
      <c r="AE35" s="645"/>
      <c r="AF35" s="579">
        <f t="shared" si="39"/>
        <v>0</v>
      </c>
      <c r="AG35" s="643"/>
      <c r="AH35" s="645"/>
      <c r="AI35" s="579">
        <f t="shared" si="40"/>
        <v>0</v>
      </c>
      <c r="AJ35" s="643"/>
      <c r="AK35" s="645"/>
      <c r="AL35" s="579">
        <f t="shared" si="41"/>
        <v>0</v>
      </c>
      <c r="AM35" s="576">
        <f t="shared" si="42"/>
        <v>0</v>
      </c>
      <c r="AN35" s="575">
        <f t="shared" si="43"/>
        <v>0</v>
      </c>
      <c r="AO35" s="574">
        <f t="shared" si="44"/>
        <v>0</v>
      </c>
      <c r="AP35" s="558"/>
    </row>
    <row r="36" spans="2:42" ht="19" customHeight="1" x14ac:dyDescent="0.2">
      <c r="B36" s="646" t="s">
        <v>489</v>
      </c>
      <c r="C36" s="643"/>
      <c r="D36" s="645"/>
      <c r="E36" s="579">
        <f t="shared" si="30"/>
        <v>0</v>
      </c>
      <c r="F36" s="643"/>
      <c r="G36" s="645"/>
      <c r="H36" s="579">
        <f t="shared" si="31"/>
        <v>0</v>
      </c>
      <c r="I36" s="643"/>
      <c r="J36" s="645"/>
      <c r="K36" s="579">
        <f t="shared" si="32"/>
        <v>0</v>
      </c>
      <c r="L36" s="643"/>
      <c r="M36" s="645"/>
      <c r="N36" s="579">
        <f t="shared" si="33"/>
        <v>0</v>
      </c>
      <c r="O36" s="643"/>
      <c r="P36" s="645"/>
      <c r="Q36" s="579">
        <f t="shared" si="34"/>
        <v>0</v>
      </c>
      <c r="R36" s="643"/>
      <c r="S36" s="645"/>
      <c r="T36" s="579">
        <f t="shared" si="35"/>
        <v>0</v>
      </c>
      <c r="U36" s="643"/>
      <c r="V36" s="645"/>
      <c r="W36" s="579">
        <f t="shared" si="36"/>
        <v>0</v>
      </c>
      <c r="X36" s="643"/>
      <c r="Y36" s="645"/>
      <c r="Z36" s="579">
        <f t="shared" si="37"/>
        <v>0</v>
      </c>
      <c r="AA36" s="643"/>
      <c r="AB36" s="645"/>
      <c r="AC36" s="579">
        <f t="shared" si="38"/>
        <v>0</v>
      </c>
      <c r="AD36" s="643"/>
      <c r="AE36" s="645"/>
      <c r="AF36" s="579">
        <f t="shared" si="39"/>
        <v>0</v>
      </c>
      <c r="AG36" s="643"/>
      <c r="AH36" s="645"/>
      <c r="AI36" s="579">
        <f t="shared" si="40"/>
        <v>0</v>
      </c>
      <c r="AJ36" s="643"/>
      <c r="AK36" s="645"/>
      <c r="AL36" s="579">
        <f t="shared" si="41"/>
        <v>0</v>
      </c>
      <c r="AM36" s="576">
        <f t="shared" si="42"/>
        <v>0</v>
      </c>
      <c r="AN36" s="575">
        <f t="shared" si="43"/>
        <v>0</v>
      </c>
      <c r="AO36" s="574">
        <f t="shared" si="44"/>
        <v>0</v>
      </c>
      <c r="AP36" s="558"/>
    </row>
    <row r="37" spans="2:42" ht="19" customHeight="1" x14ac:dyDescent="0.2">
      <c r="B37" s="646" t="s">
        <v>380</v>
      </c>
      <c r="C37" s="643"/>
      <c r="D37" s="645"/>
      <c r="E37" s="579">
        <f t="shared" si="30"/>
        <v>0</v>
      </c>
      <c r="F37" s="643"/>
      <c r="G37" s="645"/>
      <c r="H37" s="579">
        <f t="shared" si="31"/>
        <v>0</v>
      </c>
      <c r="I37" s="643"/>
      <c r="J37" s="645"/>
      <c r="K37" s="579">
        <f t="shared" si="32"/>
        <v>0</v>
      </c>
      <c r="L37" s="643"/>
      <c r="M37" s="645"/>
      <c r="N37" s="579">
        <f t="shared" si="33"/>
        <v>0</v>
      </c>
      <c r="O37" s="643"/>
      <c r="P37" s="645"/>
      <c r="Q37" s="579">
        <f t="shared" si="34"/>
        <v>0</v>
      </c>
      <c r="R37" s="643"/>
      <c r="S37" s="645"/>
      <c r="T37" s="579">
        <f t="shared" si="35"/>
        <v>0</v>
      </c>
      <c r="U37" s="643"/>
      <c r="V37" s="645"/>
      <c r="W37" s="579">
        <f t="shared" si="36"/>
        <v>0</v>
      </c>
      <c r="X37" s="643"/>
      <c r="Y37" s="645"/>
      <c r="Z37" s="579">
        <f t="shared" si="37"/>
        <v>0</v>
      </c>
      <c r="AA37" s="643"/>
      <c r="AB37" s="645"/>
      <c r="AC37" s="579">
        <f t="shared" si="38"/>
        <v>0</v>
      </c>
      <c r="AD37" s="643"/>
      <c r="AE37" s="645"/>
      <c r="AF37" s="579">
        <f t="shared" si="39"/>
        <v>0</v>
      </c>
      <c r="AG37" s="643"/>
      <c r="AH37" s="645"/>
      <c r="AI37" s="579">
        <f t="shared" si="40"/>
        <v>0</v>
      </c>
      <c r="AJ37" s="643"/>
      <c r="AK37" s="645"/>
      <c r="AL37" s="579">
        <f t="shared" si="41"/>
        <v>0</v>
      </c>
      <c r="AM37" s="576">
        <f t="shared" si="42"/>
        <v>0</v>
      </c>
      <c r="AN37" s="575">
        <f t="shared" si="43"/>
        <v>0</v>
      </c>
      <c r="AO37" s="574">
        <f t="shared" si="44"/>
        <v>0</v>
      </c>
      <c r="AP37" s="558"/>
    </row>
    <row r="38" spans="2:42" ht="19" customHeight="1" x14ac:dyDescent="0.2">
      <c r="B38" s="646" t="s">
        <v>488</v>
      </c>
      <c r="C38" s="643"/>
      <c r="D38" s="645"/>
      <c r="E38" s="579">
        <f t="shared" si="30"/>
        <v>0</v>
      </c>
      <c r="F38" s="643"/>
      <c r="G38" s="645"/>
      <c r="H38" s="579">
        <f t="shared" si="31"/>
        <v>0</v>
      </c>
      <c r="I38" s="643"/>
      <c r="J38" s="645"/>
      <c r="K38" s="579">
        <f t="shared" si="32"/>
        <v>0</v>
      </c>
      <c r="L38" s="643"/>
      <c r="M38" s="645"/>
      <c r="N38" s="579">
        <f t="shared" si="33"/>
        <v>0</v>
      </c>
      <c r="O38" s="643"/>
      <c r="P38" s="645"/>
      <c r="Q38" s="579">
        <f t="shared" si="34"/>
        <v>0</v>
      </c>
      <c r="R38" s="643"/>
      <c r="S38" s="645"/>
      <c r="T38" s="579">
        <f t="shared" si="35"/>
        <v>0</v>
      </c>
      <c r="U38" s="643"/>
      <c r="V38" s="645"/>
      <c r="W38" s="579">
        <f t="shared" si="36"/>
        <v>0</v>
      </c>
      <c r="X38" s="643"/>
      <c r="Y38" s="645"/>
      <c r="Z38" s="579">
        <f t="shared" si="37"/>
        <v>0</v>
      </c>
      <c r="AA38" s="643"/>
      <c r="AB38" s="645"/>
      <c r="AC38" s="579">
        <f t="shared" si="38"/>
        <v>0</v>
      </c>
      <c r="AD38" s="643"/>
      <c r="AE38" s="645"/>
      <c r="AF38" s="579">
        <f t="shared" si="39"/>
        <v>0</v>
      </c>
      <c r="AG38" s="643"/>
      <c r="AH38" s="645"/>
      <c r="AI38" s="579">
        <f t="shared" si="40"/>
        <v>0</v>
      </c>
      <c r="AJ38" s="643"/>
      <c r="AK38" s="645"/>
      <c r="AL38" s="579">
        <f t="shared" si="41"/>
        <v>0</v>
      </c>
      <c r="AM38" s="576">
        <f t="shared" si="42"/>
        <v>0</v>
      </c>
      <c r="AN38" s="575">
        <f t="shared" si="43"/>
        <v>0</v>
      </c>
      <c r="AO38" s="574">
        <f t="shared" si="44"/>
        <v>0</v>
      </c>
      <c r="AP38" s="558"/>
    </row>
    <row r="39" spans="2:42" ht="19" customHeight="1" x14ac:dyDescent="0.2">
      <c r="B39" s="646" t="s">
        <v>382</v>
      </c>
      <c r="C39" s="643"/>
      <c r="D39" s="645"/>
      <c r="E39" s="579">
        <f t="shared" si="30"/>
        <v>0</v>
      </c>
      <c r="F39" s="643"/>
      <c r="G39" s="645"/>
      <c r="H39" s="579">
        <f t="shared" si="31"/>
        <v>0</v>
      </c>
      <c r="I39" s="643"/>
      <c r="J39" s="645"/>
      <c r="K39" s="579">
        <f t="shared" si="32"/>
        <v>0</v>
      </c>
      <c r="L39" s="643"/>
      <c r="M39" s="645"/>
      <c r="N39" s="579">
        <f t="shared" si="33"/>
        <v>0</v>
      </c>
      <c r="O39" s="643"/>
      <c r="P39" s="645"/>
      <c r="Q39" s="579">
        <f t="shared" si="34"/>
        <v>0</v>
      </c>
      <c r="R39" s="643"/>
      <c r="S39" s="645"/>
      <c r="T39" s="579">
        <f t="shared" si="35"/>
        <v>0</v>
      </c>
      <c r="U39" s="643"/>
      <c r="V39" s="645"/>
      <c r="W39" s="579">
        <f t="shared" si="36"/>
        <v>0</v>
      </c>
      <c r="X39" s="643"/>
      <c r="Y39" s="645"/>
      <c r="Z39" s="579">
        <f t="shared" si="37"/>
        <v>0</v>
      </c>
      <c r="AA39" s="643"/>
      <c r="AB39" s="645"/>
      <c r="AC39" s="579">
        <f t="shared" si="38"/>
        <v>0</v>
      </c>
      <c r="AD39" s="643"/>
      <c r="AE39" s="645"/>
      <c r="AF39" s="579">
        <f t="shared" si="39"/>
        <v>0</v>
      </c>
      <c r="AG39" s="643"/>
      <c r="AH39" s="645"/>
      <c r="AI39" s="579">
        <f t="shared" si="40"/>
        <v>0</v>
      </c>
      <c r="AJ39" s="643"/>
      <c r="AK39" s="645"/>
      <c r="AL39" s="579">
        <f t="shared" si="41"/>
        <v>0</v>
      </c>
      <c r="AM39" s="576">
        <f t="shared" si="42"/>
        <v>0</v>
      </c>
      <c r="AN39" s="575">
        <f t="shared" si="43"/>
        <v>0</v>
      </c>
      <c r="AO39" s="574">
        <f t="shared" si="44"/>
        <v>0</v>
      </c>
      <c r="AP39" s="558"/>
    </row>
    <row r="40" spans="2:42" ht="19" customHeight="1" x14ac:dyDescent="0.2">
      <c r="B40" s="646" t="s">
        <v>383</v>
      </c>
      <c r="C40" s="643"/>
      <c r="D40" s="645"/>
      <c r="E40" s="579">
        <f t="shared" si="30"/>
        <v>0</v>
      </c>
      <c r="F40" s="643"/>
      <c r="G40" s="645"/>
      <c r="H40" s="579">
        <f t="shared" si="31"/>
        <v>0</v>
      </c>
      <c r="I40" s="643"/>
      <c r="J40" s="645"/>
      <c r="K40" s="579">
        <f t="shared" si="32"/>
        <v>0</v>
      </c>
      <c r="L40" s="643"/>
      <c r="M40" s="645"/>
      <c r="N40" s="579">
        <f t="shared" si="33"/>
        <v>0</v>
      </c>
      <c r="O40" s="643"/>
      <c r="P40" s="645"/>
      <c r="Q40" s="579">
        <f t="shared" si="34"/>
        <v>0</v>
      </c>
      <c r="R40" s="643"/>
      <c r="S40" s="645"/>
      <c r="T40" s="579">
        <f t="shared" si="35"/>
        <v>0</v>
      </c>
      <c r="U40" s="643"/>
      <c r="V40" s="645"/>
      <c r="W40" s="579">
        <f t="shared" si="36"/>
        <v>0</v>
      </c>
      <c r="X40" s="643"/>
      <c r="Y40" s="645"/>
      <c r="Z40" s="579">
        <f t="shared" si="37"/>
        <v>0</v>
      </c>
      <c r="AA40" s="643"/>
      <c r="AB40" s="645"/>
      <c r="AC40" s="579">
        <f t="shared" si="38"/>
        <v>0</v>
      </c>
      <c r="AD40" s="643"/>
      <c r="AE40" s="645"/>
      <c r="AF40" s="579">
        <f t="shared" si="39"/>
        <v>0</v>
      </c>
      <c r="AG40" s="643"/>
      <c r="AH40" s="645"/>
      <c r="AI40" s="579">
        <f t="shared" si="40"/>
        <v>0</v>
      </c>
      <c r="AJ40" s="643"/>
      <c r="AK40" s="645"/>
      <c r="AL40" s="579">
        <f t="shared" si="41"/>
        <v>0</v>
      </c>
      <c r="AM40" s="576">
        <f t="shared" si="42"/>
        <v>0</v>
      </c>
      <c r="AN40" s="575">
        <f t="shared" si="43"/>
        <v>0</v>
      </c>
      <c r="AO40" s="574">
        <f t="shared" si="44"/>
        <v>0</v>
      </c>
      <c r="AP40" s="558"/>
    </row>
    <row r="41" spans="2:42" s="556" customFormat="1" ht="19" customHeight="1" x14ac:dyDescent="0.2">
      <c r="B41" s="646" t="s">
        <v>384</v>
      </c>
      <c r="C41" s="643"/>
      <c r="D41" s="645"/>
      <c r="E41" s="579">
        <f t="shared" si="30"/>
        <v>0</v>
      </c>
      <c r="F41" s="643"/>
      <c r="G41" s="645"/>
      <c r="H41" s="579">
        <f t="shared" si="31"/>
        <v>0</v>
      </c>
      <c r="I41" s="643"/>
      <c r="J41" s="645"/>
      <c r="K41" s="579">
        <f t="shared" si="32"/>
        <v>0</v>
      </c>
      <c r="L41" s="643"/>
      <c r="M41" s="645"/>
      <c r="N41" s="579">
        <f t="shared" si="33"/>
        <v>0</v>
      </c>
      <c r="O41" s="643"/>
      <c r="P41" s="645"/>
      <c r="Q41" s="579">
        <f t="shared" si="34"/>
        <v>0</v>
      </c>
      <c r="R41" s="643"/>
      <c r="S41" s="645"/>
      <c r="T41" s="579">
        <f t="shared" si="35"/>
        <v>0</v>
      </c>
      <c r="U41" s="643"/>
      <c r="V41" s="645"/>
      <c r="W41" s="579">
        <f t="shared" si="36"/>
        <v>0</v>
      </c>
      <c r="X41" s="643"/>
      <c r="Y41" s="645"/>
      <c r="Z41" s="579">
        <f t="shared" si="37"/>
        <v>0</v>
      </c>
      <c r="AA41" s="643"/>
      <c r="AB41" s="645"/>
      <c r="AC41" s="579">
        <f t="shared" si="38"/>
        <v>0</v>
      </c>
      <c r="AD41" s="643"/>
      <c r="AE41" s="645"/>
      <c r="AF41" s="579">
        <f t="shared" si="39"/>
        <v>0</v>
      </c>
      <c r="AG41" s="643"/>
      <c r="AH41" s="645"/>
      <c r="AI41" s="579">
        <f t="shared" si="40"/>
        <v>0</v>
      </c>
      <c r="AJ41" s="643"/>
      <c r="AK41" s="645"/>
      <c r="AL41" s="579">
        <f t="shared" si="41"/>
        <v>0</v>
      </c>
      <c r="AM41" s="576">
        <f t="shared" si="42"/>
        <v>0</v>
      </c>
      <c r="AN41" s="575">
        <f t="shared" si="43"/>
        <v>0</v>
      </c>
      <c r="AO41" s="574">
        <f t="shared" si="44"/>
        <v>0</v>
      </c>
      <c r="AP41" s="558"/>
    </row>
    <row r="42" spans="2:42" s="556" customFormat="1" ht="19" customHeight="1" x14ac:dyDescent="0.2">
      <c r="B42" s="646" t="s">
        <v>385</v>
      </c>
      <c r="C42" s="643"/>
      <c r="D42" s="645"/>
      <c r="E42" s="579">
        <f t="shared" si="30"/>
        <v>0</v>
      </c>
      <c r="F42" s="643"/>
      <c r="G42" s="645"/>
      <c r="H42" s="579">
        <f t="shared" si="31"/>
        <v>0</v>
      </c>
      <c r="I42" s="643"/>
      <c r="J42" s="645"/>
      <c r="K42" s="579">
        <f t="shared" si="32"/>
        <v>0</v>
      </c>
      <c r="L42" s="643"/>
      <c r="M42" s="645"/>
      <c r="N42" s="579">
        <f t="shared" si="33"/>
        <v>0</v>
      </c>
      <c r="O42" s="643"/>
      <c r="P42" s="645"/>
      <c r="Q42" s="579">
        <f t="shared" si="34"/>
        <v>0</v>
      </c>
      <c r="R42" s="643"/>
      <c r="S42" s="645"/>
      <c r="T42" s="579">
        <f t="shared" si="35"/>
        <v>0</v>
      </c>
      <c r="U42" s="643"/>
      <c r="V42" s="645"/>
      <c r="W42" s="579">
        <f t="shared" si="36"/>
        <v>0</v>
      </c>
      <c r="X42" s="643"/>
      <c r="Y42" s="645"/>
      <c r="Z42" s="579">
        <f t="shared" si="37"/>
        <v>0</v>
      </c>
      <c r="AA42" s="643"/>
      <c r="AB42" s="645"/>
      <c r="AC42" s="579">
        <f t="shared" si="38"/>
        <v>0</v>
      </c>
      <c r="AD42" s="643"/>
      <c r="AE42" s="645"/>
      <c r="AF42" s="579">
        <f t="shared" si="39"/>
        <v>0</v>
      </c>
      <c r="AG42" s="643"/>
      <c r="AH42" s="645"/>
      <c r="AI42" s="579">
        <f t="shared" si="40"/>
        <v>0</v>
      </c>
      <c r="AJ42" s="643"/>
      <c r="AK42" s="645"/>
      <c r="AL42" s="579">
        <f t="shared" si="41"/>
        <v>0</v>
      </c>
      <c r="AM42" s="576">
        <f t="shared" si="42"/>
        <v>0</v>
      </c>
      <c r="AN42" s="575">
        <f t="shared" si="43"/>
        <v>0</v>
      </c>
      <c r="AO42" s="574">
        <f t="shared" si="44"/>
        <v>0</v>
      </c>
      <c r="AP42" s="558"/>
    </row>
    <row r="43" spans="2:42" s="556" customFormat="1" ht="19" customHeight="1" x14ac:dyDescent="0.2">
      <c r="B43" s="646" t="s">
        <v>386</v>
      </c>
      <c r="C43" s="643"/>
      <c r="D43" s="645"/>
      <c r="E43" s="579">
        <f t="shared" si="30"/>
        <v>0</v>
      </c>
      <c r="F43" s="643"/>
      <c r="G43" s="645"/>
      <c r="H43" s="579">
        <f t="shared" si="31"/>
        <v>0</v>
      </c>
      <c r="I43" s="643"/>
      <c r="J43" s="645"/>
      <c r="K43" s="579">
        <f t="shared" si="32"/>
        <v>0</v>
      </c>
      <c r="L43" s="643"/>
      <c r="M43" s="645"/>
      <c r="N43" s="579">
        <f t="shared" si="33"/>
        <v>0</v>
      </c>
      <c r="O43" s="643"/>
      <c r="P43" s="645"/>
      <c r="Q43" s="579">
        <f t="shared" si="34"/>
        <v>0</v>
      </c>
      <c r="R43" s="643"/>
      <c r="S43" s="645"/>
      <c r="T43" s="579">
        <f t="shared" si="35"/>
        <v>0</v>
      </c>
      <c r="U43" s="643"/>
      <c r="V43" s="645"/>
      <c r="W43" s="579">
        <f t="shared" si="36"/>
        <v>0</v>
      </c>
      <c r="X43" s="643"/>
      <c r="Y43" s="645"/>
      <c r="Z43" s="579">
        <f t="shared" si="37"/>
        <v>0</v>
      </c>
      <c r="AA43" s="643"/>
      <c r="AB43" s="645"/>
      <c r="AC43" s="579">
        <f t="shared" si="38"/>
        <v>0</v>
      </c>
      <c r="AD43" s="643"/>
      <c r="AE43" s="645"/>
      <c r="AF43" s="579">
        <f t="shared" si="39"/>
        <v>0</v>
      </c>
      <c r="AG43" s="643"/>
      <c r="AH43" s="645"/>
      <c r="AI43" s="579">
        <f t="shared" si="40"/>
        <v>0</v>
      </c>
      <c r="AJ43" s="643"/>
      <c r="AK43" s="645"/>
      <c r="AL43" s="579">
        <f t="shared" si="41"/>
        <v>0</v>
      </c>
      <c r="AM43" s="576">
        <f t="shared" si="42"/>
        <v>0</v>
      </c>
      <c r="AN43" s="575">
        <f t="shared" si="43"/>
        <v>0</v>
      </c>
      <c r="AO43" s="574">
        <f t="shared" si="44"/>
        <v>0</v>
      </c>
      <c r="AP43" s="558"/>
    </row>
    <row r="44" spans="2:42" s="556" customFormat="1" ht="19" customHeight="1" x14ac:dyDescent="0.2">
      <c r="B44" s="646" t="s">
        <v>387</v>
      </c>
      <c r="C44" s="643"/>
      <c r="D44" s="645"/>
      <c r="E44" s="579">
        <f t="shared" si="30"/>
        <v>0</v>
      </c>
      <c r="F44" s="643"/>
      <c r="G44" s="645"/>
      <c r="H44" s="579">
        <f t="shared" si="31"/>
        <v>0</v>
      </c>
      <c r="I44" s="643"/>
      <c r="J44" s="645"/>
      <c r="K44" s="579">
        <f t="shared" si="32"/>
        <v>0</v>
      </c>
      <c r="L44" s="643"/>
      <c r="M44" s="645"/>
      <c r="N44" s="579">
        <f t="shared" si="33"/>
        <v>0</v>
      </c>
      <c r="O44" s="643"/>
      <c r="P44" s="645"/>
      <c r="Q44" s="579">
        <f t="shared" si="34"/>
        <v>0</v>
      </c>
      <c r="R44" s="643"/>
      <c r="S44" s="645"/>
      <c r="T44" s="579">
        <f t="shared" si="35"/>
        <v>0</v>
      </c>
      <c r="U44" s="643"/>
      <c r="V44" s="645"/>
      <c r="W44" s="579">
        <f t="shared" si="36"/>
        <v>0</v>
      </c>
      <c r="X44" s="643"/>
      <c r="Y44" s="645"/>
      <c r="Z44" s="579">
        <f t="shared" si="37"/>
        <v>0</v>
      </c>
      <c r="AA44" s="643"/>
      <c r="AB44" s="645"/>
      <c r="AC44" s="579">
        <f t="shared" si="38"/>
        <v>0</v>
      </c>
      <c r="AD44" s="643"/>
      <c r="AE44" s="645"/>
      <c r="AF44" s="579">
        <f t="shared" si="39"/>
        <v>0</v>
      </c>
      <c r="AG44" s="643"/>
      <c r="AH44" s="645"/>
      <c r="AI44" s="579">
        <f t="shared" si="40"/>
        <v>0</v>
      </c>
      <c r="AJ44" s="643"/>
      <c r="AK44" s="645"/>
      <c r="AL44" s="579">
        <f t="shared" si="41"/>
        <v>0</v>
      </c>
      <c r="AM44" s="576">
        <f t="shared" si="42"/>
        <v>0</v>
      </c>
      <c r="AN44" s="575">
        <f t="shared" si="43"/>
        <v>0</v>
      </c>
      <c r="AO44" s="574">
        <f t="shared" si="44"/>
        <v>0</v>
      </c>
      <c r="AP44" s="558"/>
    </row>
    <row r="45" spans="2:42" s="556" customFormat="1" ht="19" customHeight="1" x14ac:dyDescent="0.2">
      <c r="B45" s="646" t="s">
        <v>388</v>
      </c>
      <c r="C45" s="643"/>
      <c r="D45" s="645"/>
      <c r="E45" s="579">
        <f t="shared" si="30"/>
        <v>0</v>
      </c>
      <c r="F45" s="643"/>
      <c r="G45" s="645"/>
      <c r="H45" s="579">
        <f t="shared" si="31"/>
        <v>0</v>
      </c>
      <c r="I45" s="643"/>
      <c r="J45" s="645"/>
      <c r="K45" s="579">
        <f t="shared" si="32"/>
        <v>0</v>
      </c>
      <c r="L45" s="643"/>
      <c r="M45" s="645"/>
      <c r="N45" s="579">
        <f t="shared" si="33"/>
        <v>0</v>
      </c>
      <c r="O45" s="643"/>
      <c r="P45" s="645"/>
      <c r="Q45" s="579">
        <f t="shared" si="34"/>
        <v>0</v>
      </c>
      <c r="R45" s="643"/>
      <c r="S45" s="645"/>
      <c r="T45" s="579">
        <f t="shared" si="35"/>
        <v>0</v>
      </c>
      <c r="U45" s="643"/>
      <c r="V45" s="645"/>
      <c r="W45" s="579">
        <f t="shared" si="36"/>
        <v>0</v>
      </c>
      <c r="X45" s="643"/>
      <c r="Y45" s="645"/>
      <c r="Z45" s="579">
        <f t="shared" si="37"/>
        <v>0</v>
      </c>
      <c r="AA45" s="643"/>
      <c r="AB45" s="645"/>
      <c r="AC45" s="579">
        <f t="shared" si="38"/>
        <v>0</v>
      </c>
      <c r="AD45" s="643"/>
      <c r="AE45" s="645"/>
      <c r="AF45" s="579">
        <f t="shared" si="39"/>
        <v>0</v>
      </c>
      <c r="AG45" s="643"/>
      <c r="AH45" s="645"/>
      <c r="AI45" s="579">
        <f t="shared" si="40"/>
        <v>0</v>
      </c>
      <c r="AJ45" s="643"/>
      <c r="AK45" s="645"/>
      <c r="AL45" s="579">
        <f t="shared" si="41"/>
        <v>0</v>
      </c>
      <c r="AM45" s="576">
        <f t="shared" si="42"/>
        <v>0</v>
      </c>
      <c r="AN45" s="575">
        <f t="shared" si="43"/>
        <v>0</v>
      </c>
      <c r="AO45" s="574">
        <f t="shared" si="44"/>
        <v>0</v>
      </c>
      <c r="AP45" s="558"/>
    </row>
    <row r="46" spans="2:42" s="556" customFormat="1" ht="19" customHeight="1" x14ac:dyDescent="0.2">
      <c r="B46" s="646" t="s">
        <v>447</v>
      </c>
      <c r="C46" s="643"/>
      <c r="D46" s="645"/>
      <c r="E46" s="579">
        <f t="shared" si="30"/>
        <v>0</v>
      </c>
      <c r="F46" s="643"/>
      <c r="G46" s="645"/>
      <c r="H46" s="579">
        <f t="shared" si="31"/>
        <v>0</v>
      </c>
      <c r="I46" s="643"/>
      <c r="J46" s="645"/>
      <c r="K46" s="579">
        <f t="shared" si="32"/>
        <v>0</v>
      </c>
      <c r="L46" s="643"/>
      <c r="M46" s="645"/>
      <c r="N46" s="579">
        <f t="shared" si="33"/>
        <v>0</v>
      </c>
      <c r="O46" s="643"/>
      <c r="P46" s="645"/>
      <c r="Q46" s="579">
        <f t="shared" si="34"/>
        <v>0</v>
      </c>
      <c r="R46" s="643"/>
      <c r="S46" s="645"/>
      <c r="T46" s="579">
        <f t="shared" si="35"/>
        <v>0</v>
      </c>
      <c r="U46" s="643"/>
      <c r="V46" s="645"/>
      <c r="W46" s="579">
        <f t="shared" si="36"/>
        <v>0</v>
      </c>
      <c r="X46" s="643"/>
      <c r="Y46" s="645"/>
      <c r="Z46" s="579">
        <f t="shared" si="37"/>
        <v>0</v>
      </c>
      <c r="AA46" s="643"/>
      <c r="AB46" s="645"/>
      <c r="AC46" s="579">
        <f t="shared" si="38"/>
        <v>0</v>
      </c>
      <c r="AD46" s="643"/>
      <c r="AE46" s="645"/>
      <c r="AF46" s="579">
        <f t="shared" si="39"/>
        <v>0</v>
      </c>
      <c r="AG46" s="643"/>
      <c r="AH46" s="645"/>
      <c r="AI46" s="579">
        <f t="shared" si="40"/>
        <v>0</v>
      </c>
      <c r="AJ46" s="643"/>
      <c r="AK46" s="645"/>
      <c r="AL46" s="579">
        <f t="shared" si="41"/>
        <v>0</v>
      </c>
      <c r="AM46" s="576">
        <f t="shared" si="42"/>
        <v>0</v>
      </c>
      <c r="AN46" s="575">
        <f t="shared" si="43"/>
        <v>0</v>
      </c>
      <c r="AO46" s="574">
        <f t="shared" si="44"/>
        <v>0</v>
      </c>
      <c r="AP46" s="558"/>
    </row>
    <row r="47" spans="2:42" s="556" customFormat="1" ht="19" customHeight="1" x14ac:dyDescent="0.2">
      <c r="B47" s="646" t="s">
        <v>487</v>
      </c>
      <c r="C47" s="643"/>
      <c r="D47" s="645"/>
      <c r="E47" s="579">
        <f t="shared" si="30"/>
        <v>0</v>
      </c>
      <c r="F47" s="643"/>
      <c r="G47" s="645"/>
      <c r="H47" s="579">
        <f t="shared" si="31"/>
        <v>0</v>
      </c>
      <c r="I47" s="643"/>
      <c r="J47" s="645"/>
      <c r="K47" s="579">
        <f t="shared" si="32"/>
        <v>0</v>
      </c>
      <c r="L47" s="643"/>
      <c r="M47" s="645"/>
      <c r="N47" s="579">
        <f t="shared" si="33"/>
        <v>0</v>
      </c>
      <c r="O47" s="643"/>
      <c r="P47" s="645"/>
      <c r="Q47" s="579">
        <f t="shared" si="34"/>
        <v>0</v>
      </c>
      <c r="R47" s="643"/>
      <c r="S47" s="645"/>
      <c r="T47" s="579">
        <f t="shared" si="35"/>
        <v>0</v>
      </c>
      <c r="U47" s="643"/>
      <c r="V47" s="645"/>
      <c r="W47" s="579">
        <f t="shared" si="36"/>
        <v>0</v>
      </c>
      <c r="X47" s="643"/>
      <c r="Y47" s="645"/>
      <c r="Z47" s="579">
        <f t="shared" si="37"/>
        <v>0</v>
      </c>
      <c r="AA47" s="643"/>
      <c r="AB47" s="645"/>
      <c r="AC47" s="579">
        <f t="shared" si="38"/>
        <v>0</v>
      </c>
      <c r="AD47" s="643"/>
      <c r="AE47" s="645"/>
      <c r="AF47" s="579">
        <f t="shared" si="39"/>
        <v>0</v>
      </c>
      <c r="AG47" s="643"/>
      <c r="AH47" s="645"/>
      <c r="AI47" s="579">
        <f t="shared" si="40"/>
        <v>0</v>
      </c>
      <c r="AJ47" s="643"/>
      <c r="AK47" s="645"/>
      <c r="AL47" s="579">
        <f t="shared" si="41"/>
        <v>0</v>
      </c>
      <c r="AM47" s="576">
        <f t="shared" si="42"/>
        <v>0</v>
      </c>
      <c r="AN47" s="575">
        <f t="shared" si="43"/>
        <v>0</v>
      </c>
      <c r="AO47" s="574">
        <f t="shared" si="44"/>
        <v>0</v>
      </c>
      <c r="AP47" s="558"/>
    </row>
    <row r="48" spans="2:42" s="556" customFormat="1" ht="19" customHeight="1" x14ac:dyDescent="0.2">
      <c r="B48" s="646" t="s">
        <v>16</v>
      </c>
      <c r="C48" s="643"/>
      <c r="D48" s="645"/>
      <c r="E48" s="579">
        <f t="shared" si="30"/>
        <v>0</v>
      </c>
      <c r="F48" s="643"/>
      <c r="G48" s="645"/>
      <c r="H48" s="579">
        <f t="shared" si="31"/>
        <v>0</v>
      </c>
      <c r="I48" s="643"/>
      <c r="J48" s="645"/>
      <c r="K48" s="579">
        <f t="shared" si="32"/>
        <v>0</v>
      </c>
      <c r="L48" s="643"/>
      <c r="M48" s="645"/>
      <c r="N48" s="579">
        <f t="shared" si="33"/>
        <v>0</v>
      </c>
      <c r="O48" s="643"/>
      <c r="P48" s="645"/>
      <c r="Q48" s="579">
        <f t="shared" si="34"/>
        <v>0</v>
      </c>
      <c r="R48" s="643"/>
      <c r="S48" s="645"/>
      <c r="T48" s="579">
        <f t="shared" si="35"/>
        <v>0</v>
      </c>
      <c r="U48" s="643"/>
      <c r="V48" s="645"/>
      <c r="W48" s="579">
        <f t="shared" si="36"/>
        <v>0</v>
      </c>
      <c r="X48" s="643"/>
      <c r="Y48" s="645"/>
      <c r="Z48" s="579">
        <f t="shared" si="37"/>
        <v>0</v>
      </c>
      <c r="AA48" s="643"/>
      <c r="AB48" s="645"/>
      <c r="AC48" s="579">
        <f t="shared" si="38"/>
        <v>0</v>
      </c>
      <c r="AD48" s="643"/>
      <c r="AE48" s="645"/>
      <c r="AF48" s="579">
        <f t="shared" si="39"/>
        <v>0</v>
      </c>
      <c r="AG48" s="643"/>
      <c r="AH48" s="645"/>
      <c r="AI48" s="579">
        <f t="shared" si="40"/>
        <v>0</v>
      </c>
      <c r="AJ48" s="643"/>
      <c r="AK48" s="645"/>
      <c r="AL48" s="579">
        <f t="shared" si="41"/>
        <v>0</v>
      </c>
      <c r="AM48" s="576">
        <f t="shared" si="42"/>
        <v>0</v>
      </c>
      <c r="AN48" s="575">
        <f t="shared" si="43"/>
        <v>0</v>
      </c>
      <c r="AO48" s="574">
        <f t="shared" si="44"/>
        <v>0</v>
      </c>
      <c r="AP48" s="558"/>
    </row>
    <row r="49" spans="2:42" s="556" customFormat="1" ht="19" customHeight="1" x14ac:dyDescent="0.2">
      <c r="B49" s="638" t="s">
        <v>486</v>
      </c>
      <c r="C49" s="583"/>
      <c r="D49" s="582"/>
      <c r="E49" s="581" t="s">
        <v>350</v>
      </c>
      <c r="F49" s="583"/>
      <c r="G49" s="582"/>
      <c r="H49" s="581" t="s">
        <v>350</v>
      </c>
      <c r="I49" s="583"/>
      <c r="J49" s="582"/>
      <c r="K49" s="581" t="s">
        <v>350</v>
      </c>
      <c r="L49" s="583"/>
      <c r="M49" s="582"/>
      <c r="N49" s="581" t="s">
        <v>350</v>
      </c>
      <c r="O49" s="583"/>
      <c r="P49" s="582"/>
      <c r="Q49" s="581" t="s">
        <v>350</v>
      </c>
      <c r="R49" s="583"/>
      <c r="S49" s="582"/>
      <c r="T49" s="581" t="s">
        <v>350</v>
      </c>
      <c r="U49" s="583"/>
      <c r="V49" s="582"/>
      <c r="W49" s="581" t="s">
        <v>350</v>
      </c>
      <c r="X49" s="583"/>
      <c r="Y49" s="582"/>
      <c r="Z49" s="581" t="s">
        <v>350</v>
      </c>
      <c r="AA49" s="583"/>
      <c r="AB49" s="582"/>
      <c r="AC49" s="581" t="s">
        <v>350</v>
      </c>
      <c r="AD49" s="583"/>
      <c r="AE49" s="582"/>
      <c r="AF49" s="581" t="s">
        <v>350</v>
      </c>
      <c r="AG49" s="583"/>
      <c r="AH49" s="582"/>
      <c r="AI49" s="581" t="s">
        <v>350</v>
      </c>
      <c r="AJ49" s="583"/>
      <c r="AK49" s="582"/>
      <c r="AL49" s="581" t="s">
        <v>350</v>
      </c>
      <c r="AM49" s="582" t="s">
        <v>350</v>
      </c>
      <c r="AN49" s="581" t="s">
        <v>350</v>
      </c>
      <c r="AO49" s="580" t="s">
        <v>350</v>
      </c>
      <c r="AP49" s="558"/>
    </row>
    <row r="50" spans="2:42" s="556" customFormat="1" ht="19" customHeight="1" x14ac:dyDescent="0.2">
      <c r="B50" s="646" t="s">
        <v>485</v>
      </c>
      <c r="C50" s="643"/>
      <c r="D50" s="645"/>
      <c r="E50" s="579">
        <f t="shared" ref="E50:E55" si="45">D50-C50</f>
        <v>0</v>
      </c>
      <c r="F50" s="643"/>
      <c r="G50" s="645"/>
      <c r="H50" s="579">
        <f t="shared" ref="H50:H55" si="46">G50-F50</f>
        <v>0</v>
      </c>
      <c r="I50" s="643"/>
      <c r="J50" s="645"/>
      <c r="K50" s="579">
        <f t="shared" ref="K50:K55" si="47">J50-I50</f>
        <v>0</v>
      </c>
      <c r="L50" s="643"/>
      <c r="M50" s="645"/>
      <c r="N50" s="579">
        <f t="shared" ref="N50:N55" si="48">M50-L50</f>
        <v>0</v>
      </c>
      <c r="O50" s="643"/>
      <c r="P50" s="645"/>
      <c r="Q50" s="579">
        <f t="shared" ref="Q50:Q55" si="49">P50-O50</f>
        <v>0</v>
      </c>
      <c r="R50" s="643"/>
      <c r="S50" s="645"/>
      <c r="T50" s="579">
        <f t="shared" ref="T50:T55" si="50">S50-R50</f>
        <v>0</v>
      </c>
      <c r="U50" s="643"/>
      <c r="V50" s="645"/>
      <c r="W50" s="579">
        <f t="shared" ref="W50:W55" si="51">V50-U50</f>
        <v>0</v>
      </c>
      <c r="X50" s="643"/>
      <c r="Y50" s="645"/>
      <c r="Z50" s="579">
        <f t="shared" ref="Z50:Z55" si="52">Y50-X50</f>
        <v>0</v>
      </c>
      <c r="AA50" s="643"/>
      <c r="AB50" s="645"/>
      <c r="AC50" s="579">
        <f t="shared" ref="AC50:AC55" si="53">AB50-AA50</f>
        <v>0</v>
      </c>
      <c r="AD50" s="643"/>
      <c r="AE50" s="645"/>
      <c r="AF50" s="579">
        <f t="shared" ref="AF50:AF55" si="54">AE50-AD50</f>
        <v>0</v>
      </c>
      <c r="AG50" s="643"/>
      <c r="AH50" s="645"/>
      <c r="AI50" s="579">
        <f t="shared" ref="AI50:AI55" si="55">AH50-AG50</f>
        <v>0</v>
      </c>
      <c r="AJ50" s="643"/>
      <c r="AK50" s="645"/>
      <c r="AL50" s="579">
        <f t="shared" ref="AL50:AL55" si="56">AK50-AJ50</f>
        <v>0</v>
      </c>
      <c r="AM50" s="576">
        <f t="shared" ref="AM50:AN54" si="57">C50+F50+I50+L50+U50+X50+O50+R50+AA50+AD50+AG50+AJ50</f>
        <v>0</v>
      </c>
      <c r="AN50" s="575">
        <f t="shared" si="57"/>
        <v>0</v>
      </c>
      <c r="AO50" s="574">
        <f>AN50-AM50</f>
        <v>0</v>
      </c>
      <c r="AP50" s="558"/>
    </row>
    <row r="51" spans="2:42" s="556" customFormat="1" ht="19" customHeight="1" x14ac:dyDescent="0.2">
      <c r="B51" s="646" t="s">
        <v>391</v>
      </c>
      <c r="C51" s="643"/>
      <c r="D51" s="645"/>
      <c r="E51" s="579">
        <f t="shared" si="45"/>
        <v>0</v>
      </c>
      <c r="F51" s="643"/>
      <c r="G51" s="645"/>
      <c r="H51" s="579">
        <f t="shared" si="46"/>
        <v>0</v>
      </c>
      <c r="I51" s="643"/>
      <c r="J51" s="645"/>
      <c r="K51" s="579">
        <f t="shared" si="47"/>
        <v>0</v>
      </c>
      <c r="L51" s="643"/>
      <c r="M51" s="645"/>
      <c r="N51" s="579">
        <f t="shared" si="48"/>
        <v>0</v>
      </c>
      <c r="O51" s="643"/>
      <c r="P51" s="645"/>
      <c r="Q51" s="579">
        <f t="shared" si="49"/>
        <v>0</v>
      </c>
      <c r="R51" s="643"/>
      <c r="S51" s="645"/>
      <c r="T51" s="579">
        <f t="shared" si="50"/>
        <v>0</v>
      </c>
      <c r="U51" s="643"/>
      <c r="V51" s="645"/>
      <c r="W51" s="579">
        <f t="shared" si="51"/>
        <v>0</v>
      </c>
      <c r="X51" s="643"/>
      <c r="Y51" s="645"/>
      <c r="Z51" s="579">
        <f t="shared" si="52"/>
        <v>0</v>
      </c>
      <c r="AA51" s="643"/>
      <c r="AB51" s="645"/>
      <c r="AC51" s="579">
        <f t="shared" si="53"/>
        <v>0</v>
      </c>
      <c r="AD51" s="643"/>
      <c r="AE51" s="645"/>
      <c r="AF51" s="579">
        <f t="shared" si="54"/>
        <v>0</v>
      </c>
      <c r="AG51" s="643"/>
      <c r="AH51" s="645"/>
      <c r="AI51" s="579">
        <f t="shared" si="55"/>
        <v>0</v>
      </c>
      <c r="AJ51" s="643"/>
      <c r="AK51" s="645"/>
      <c r="AL51" s="579">
        <f t="shared" si="56"/>
        <v>0</v>
      </c>
      <c r="AM51" s="576">
        <f t="shared" si="57"/>
        <v>0</v>
      </c>
      <c r="AN51" s="575">
        <f t="shared" si="57"/>
        <v>0</v>
      </c>
      <c r="AO51" s="574">
        <f>AN51-AM51</f>
        <v>0</v>
      </c>
      <c r="AP51" s="558"/>
    </row>
    <row r="52" spans="2:42" s="556" customFormat="1" ht="19" customHeight="1" x14ac:dyDescent="0.2">
      <c r="B52" s="646" t="s">
        <v>392</v>
      </c>
      <c r="C52" s="643"/>
      <c r="D52" s="645"/>
      <c r="E52" s="579">
        <f t="shared" si="45"/>
        <v>0</v>
      </c>
      <c r="F52" s="643"/>
      <c r="G52" s="645"/>
      <c r="H52" s="579">
        <f t="shared" si="46"/>
        <v>0</v>
      </c>
      <c r="I52" s="643"/>
      <c r="J52" s="645"/>
      <c r="K52" s="579">
        <f t="shared" si="47"/>
        <v>0</v>
      </c>
      <c r="L52" s="643"/>
      <c r="M52" s="645"/>
      <c r="N52" s="579">
        <f t="shared" si="48"/>
        <v>0</v>
      </c>
      <c r="O52" s="643"/>
      <c r="P52" s="645"/>
      <c r="Q52" s="579">
        <f t="shared" si="49"/>
        <v>0</v>
      </c>
      <c r="R52" s="643"/>
      <c r="S52" s="645"/>
      <c r="T52" s="579">
        <f t="shared" si="50"/>
        <v>0</v>
      </c>
      <c r="U52" s="643"/>
      <c r="V52" s="645"/>
      <c r="W52" s="579">
        <f t="shared" si="51"/>
        <v>0</v>
      </c>
      <c r="X52" s="643"/>
      <c r="Y52" s="645"/>
      <c r="Z52" s="579">
        <f t="shared" si="52"/>
        <v>0</v>
      </c>
      <c r="AA52" s="643"/>
      <c r="AB52" s="645"/>
      <c r="AC52" s="579">
        <f t="shared" si="53"/>
        <v>0</v>
      </c>
      <c r="AD52" s="643"/>
      <c r="AE52" s="645"/>
      <c r="AF52" s="579">
        <f t="shared" si="54"/>
        <v>0</v>
      </c>
      <c r="AG52" s="643"/>
      <c r="AH52" s="645"/>
      <c r="AI52" s="579">
        <f t="shared" si="55"/>
        <v>0</v>
      </c>
      <c r="AJ52" s="643"/>
      <c r="AK52" s="645"/>
      <c r="AL52" s="579">
        <f t="shared" si="56"/>
        <v>0</v>
      </c>
      <c r="AM52" s="576">
        <f t="shared" si="57"/>
        <v>0</v>
      </c>
      <c r="AN52" s="575">
        <f t="shared" si="57"/>
        <v>0</v>
      </c>
      <c r="AO52" s="574">
        <f>AN52-AM52</f>
        <v>0</v>
      </c>
      <c r="AP52" s="558"/>
    </row>
    <row r="53" spans="2:42" s="556" customFormat="1" ht="19" customHeight="1" x14ac:dyDescent="0.2">
      <c r="B53" s="646" t="s">
        <v>393</v>
      </c>
      <c r="C53" s="643"/>
      <c r="D53" s="645"/>
      <c r="E53" s="579">
        <f t="shared" si="45"/>
        <v>0</v>
      </c>
      <c r="F53" s="643"/>
      <c r="G53" s="645"/>
      <c r="H53" s="579">
        <f t="shared" si="46"/>
        <v>0</v>
      </c>
      <c r="I53" s="643"/>
      <c r="J53" s="645"/>
      <c r="K53" s="579">
        <f t="shared" si="47"/>
        <v>0</v>
      </c>
      <c r="L53" s="643"/>
      <c r="M53" s="645"/>
      <c r="N53" s="579">
        <f t="shared" si="48"/>
        <v>0</v>
      </c>
      <c r="O53" s="643"/>
      <c r="P53" s="645"/>
      <c r="Q53" s="579">
        <f t="shared" si="49"/>
        <v>0</v>
      </c>
      <c r="R53" s="643"/>
      <c r="S53" s="645"/>
      <c r="T53" s="579">
        <f t="shared" si="50"/>
        <v>0</v>
      </c>
      <c r="U53" s="643"/>
      <c r="V53" s="645"/>
      <c r="W53" s="579">
        <f t="shared" si="51"/>
        <v>0</v>
      </c>
      <c r="X53" s="643"/>
      <c r="Y53" s="645"/>
      <c r="Z53" s="579">
        <f t="shared" si="52"/>
        <v>0</v>
      </c>
      <c r="AA53" s="643"/>
      <c r="AB53" s="645"/>
      <c r="AC53" s="579">
        <f t="shared" si="53"/>
        <v>0</v>
      </c>
      <c r="AD53" s="643"/>
      <c r="AE53" s="645"/>
      <c r="AF53" s="579">
        <f t="shared" si="54"/>
        <v>0</v>
      </c>
      <c r="AG53" s="643"/>
      <c r="AH53" s="645"/>
      <c r="AI53" s="579">
        <f t="shared" si="55"/>
        <v>0</v>
      </c>
      <c r="AJ53" s="643"/>
      <c r="AK53" s="645"/>
      <c r="AL53" s="579">
        <f t="shared" si="56"/>
        <v>0</v>
      </c>
      <c r="AM53" s="576">
        <f t="shared" si="57"/>
        <v>0</v>
      </c>
      <c r="AN53" s="575">
        <f t="shared" si="57"/>
        <v>0</v>
      </c>
      <c r="AO53" s="574">
        <f>AN53-AM53</f>
        <v>0</v>
      </c>
      <c r="AP53" s="558"/>
    </row>
    <row r="54" spans="2:42" s="556" customFormat="1" ht="19" customHeight="1" thickBot="1" x14ac:dyDescent="0.25">
      <c r="B54" s="647" t="s">
        <v>394</v>
      </c>
      <c r="C54" s="643"/>
      <c r="D54" s="645"/>
      <c r="E54" s="578">
        <f t="shared" si="45"/>
        <v>0</v>
      </c>
      <c r="F54" s="643"/>
      <c r="G54" s="645"/>
      <c r="H54" s="577">
        <f t="shared" si="46"/>
        <v>0</v>
      </c>
      <c r="I54" s="643"/>
      <c r="J54" s="645"/>
      <c r="K54" s="577">
        <f t="shared" si="47"/>
        <v>0</v>
      </c>
      <c r="L54" s="643"/>
      <c r="M54" s="645"/>
      <c r="N54" s="577">
        <f t="shared" si="48"/>
        <v>0</v>
      </c>
      <c r="O54" s="643"/>
      <c r="P54" s="645"/>
      <c r="Q54" s="577">
        <f t="shared" si="49"/>
        <v>0</v>
      </c>
      <c r="R54" s="643"/>
      <c r="S54" s="645"/>
      <c r="T54" s="577">
        <f t="shared" si="50"/>
        <v>0</v>
      </c>
      <c r="U54" s="643"/>
      <c r="V54" s="645"/>
      <c r="W54" s="577">
        <f t="shared" si="51"/>
        <v>0</v>
      </c>
      <c r="X54" s="643"/>
      <c r="Y54" s="645"/>
      <c r="Z54" s="577">
        <f t="shared" si="52"/>
        <v>0</v>
      </c>
      <c r="AA54" s="643"/>
      <c r="AB54" s="645"/>
      <c r="AC54" s="577">
        <f t="shared" si="53"/>
        <v>0</v>
      </c>
      <c r="AD54" s="643"/>
      <c r="AE54" s="645"/>
      <c r="AF54" s="577">
        <f t="shared" si="54"/>
        <v>0</v>
      </c>
      <c r="AG54" s="643"/>
      <c r="AH54" s="645"/>
      <c r="AI54" s="577">
        <f t="shared" si="55"/>
        <v>0</v>
      </c>
      <c r="AJ54" s="643"/>
      <c r="AK54" s="645"/>
      <c r="AL54" s="577">
        <f t="shared" si="56"/>
        <v>0</v>
      </c>
      <c r="AM54" s="576">
        <f t="shared" si="57"/>
        <v>0</v>
      </c>
      <c r="AN54" s="575">
        <f t="shared" si="57"/>
        <v>0</v>
      </c>
      <c r="AO54" s="574">
        <f>AN54-AM54</f>
        <v>0</v>
      </c>
      <c r="AP54" s="558"/>
    </row>
    <row r="55" spans="2:42" s="556" customFormat="1" ht="19" customHeight="1" thickBot="1" x14ac:dyDescent="0.25">
      <c r="B55" s="639" t="s">
        <v>484</v>
      </c>
      <c r="C55" s="573">
        <f>SUM(C25:C54)</f>
        <v>0</v>
      </c>
      <c r="D55" s="573">
        <f>SUM(D25:D54)</f>
        <v>0</v>
      </c>
      <c r="E55" s="573">
        <f t="shared" si="45"/>
        <v>0</v>
      </c>
      <c r="F55" s="573">
        <f>SUM(F25:F54)</f>
        <v>0</v>
      </c>
      <c r="G55" s="573">
        <f>SUM(G25:G54)</f>
        <v>0</v>
      </c>
      <c r="H55" s="573">
        <f t="shared" si="46"/>
        <v>0</v>
      </c>
      <c r="I55" s="573">
        <f>SUM(I25:I54)</f>
        <v>0</v>
      </c>
      <c r="J55" s="573">
        <f>SUM(J25:J54)</f>
        <v>0</v>
      </c>
      <c r="K55" s="573">
        <f t="shared" si="47"/>
        <v>0</v>
      </c>
      <c r="L55" s="573">
        <f>SUM(L25:L54)</f>
        <v>0</v>
      </c>
      <c r="M55" s="573">
        <f>SUM(M25:M54)</f>
        <v>0</v>
      </c>
      <c r="N55" s="573">
        <f t="shared" si="48"/>
        <v>0</v>
      </c>
      <c r="O55" s="573">
        <f>SUM(O25:O54)</f>
        <v>0</v>
      </c>
      <c r="P55" s="573">
        <f>SUM(P25:P54)</f>
        <v>0</v>
      </c>
      <c r="Q55" s="573">
        <f t="shared" si="49"/>
        <v>0</v>
      </c>
      <c r="R55" s="573">
        <f>SUM(R25:R54)</f>
        <v>0</v>
      </c>
      <c r="S55" s="573">
        <f>SUM(S25:S54)</f>
        <v>0</v>
      </c>
      <c r="T55" s="573">
        <f t="shared" si="50"/>
        <v>0</v>
      </c>
      <c r="U55" s="573">
        <f>SUM(U25:U54)</f>
        <v>0</v>
      </c>
      <c r="V55" s="573">
        <f>SUM(V25:V54)</f>
        <v>0</v>
      </c>
      <c r="W55" s="573">
        <f t="shared" si="51"/>
        <v>0</v>
      </c>
      <c r="X55" s="573">
        <f>SUM(X25:X54)</f>
        <v>0</v>
      </c>
      <c r="Y55" s="573">
        <f>SUM(Y25:Y54)</f>
        <v>0</v>
      </c>
      <c r="Z55" s="573">
        <f t="shared" si="52"/>
        <v>0</v>
      </c>
      <c r="AA55" s="573">
        <f>SUM(AA25:AA54)</f>
        <v>0</v>
      </c>
      <c r="AB55" s="573">
        <f>SUM(AB25:AB54)</f>
        <v>0</v>
      </c>
      <c r="AC55" s="573">
        <f t="shared" si="53"/>
        <v>0</v>
      </c>
      <c r="AD55" s="573">
        <f>SUM(AD25:AD54)</f>
        <v>0</v>
      </c>
      <c r="AE55" s="573">
        <f>SUM(AE25:AE54)</f>
        <v>0</v>
      </c>
      <c r="AF55" s="573">
        <f t="shared" si="54"/>
        <v>0</v>
      </c>
      <c r="AG55" s="573">
        <f>SUM(AG25:AG54)</f>
        <v>0</v>
      </c>
      <c r="AH55" s="573">
        <f>SUM(AH25:AH54)</f>
        <v>0</v>
      </c>
      <c r="AI55" s="573">
        <f t="shared" si="55"/>
        <v>0</v>
      </c>
      <c r="AJ55" s="573">
        <f>SUM(AJ25:AJ54)</f>
        <v>0</v>
      </c>
      <c r="AK55" s="573">
        <f>SUM(AK25:AK54)</f>
        <v>0</v>
      </c>
      <c r="AL55" s="573">
        <f t="shared" si="56"/>
        <v>0</v>
      </c>
      <c r="AM55" s="572">
        <f>SUM(AM25:AM54)</f>
        <v>0</v>
      </c>
      <c r="AN55" s="571">
        <f>SUM(AN25:AN54)</f>
        <v>0</v>
      </c>
      <c r="AO55" s="571">
        <f>SUM(AO25:AO54)</f>
        <v>0</v>
      </c>
      <c r="AP55" s="558"/>
    </row>
    <row r="56" spans="2:42" s="556" customFormat="1" ht="19" hidden="1" customHeight="1" thickBot="1" x14ac:dyDescent="0.25">
      <c r="B56" s="640"/>
      <c r="C56" s="568"/>
      <c r="D56" s="567"/>
      <c r="E56" s="566"/>
      <c r="F56" s="568"/>
      <c r="G56" s="567"/>
      <c r="H56" s="566"/>
      <c r="I56" s="570"/>
      <c r="J56" s="567"/>
      <c r="K56" s="569"/>
      <c r="L56" s="568"/>
      <c r="M56" s="567"/>
      <c r="N56" s="566"/>
      <c r="O56" s="570"/>
      <c r="P56" s="567"/>
      <c r="Q56" s="569"/>
      <c r="R56" s="568"/>
      <c r="S56" s="567"/>
      <c r="T56" s="566"/>
      <c r="U56" s="568"/>
      <c r="V56" s="567"/>
      <c r="W56" s="566"/>
      <c r="X56" s="568"/>
      <c r="Y56" s="567"/>
      <c r="Z56" s="566"/>
      <c r="AA56" s="568"/>
      <c r="AB56" s="567"/>
      <c r="AC56" s="566"/>
      <c r="AD56" s="568"/>
      <c r="AE56" s="567"/>
      <c r="AF56" s="566"/>
      <c r="AG56" s="568"/>
      <c r="AH56" s="567"/>
      <c r="AI56" s="566"/>
      <c r="AJ56" s="568"/>
      <c r="AK56" s="567"/>
      <c r="AL56" s="566"/>
      <c r="AM56" s="565"/>
      <c r="AN56" s="565"/>
      <c r="AO56" s="565"/>
      <c r="AP56" s="558"/>
    </row>
    <row r="57" spans="2:42" s="556" customFormat="1" ht="19" customHeight="1" thickBot="1" x14ac:dyDescent="0.25">
      <c r="B57" s="641" t="s">
        <v>483</v>
      </c>
      <c r="C57" s="562">
        <f>SUM(C22-C55)</f>
        <v>0</v>
      </c>
      <c r="D57" s="561">
        <f>SUM(D22-D55)</f>
        <v>0</v>
      </c>
      <c r="E57" s="560">
        <f>D57-C57</f>
        <v>0</v>
      </c>
      <c r="F57" s="562">
        <f>SUM(F22-F55)</f>
        <v>0</v>
      </c>
      <c r="G57" s="561">
        <f>SUM(G22-G55)</f>
        <v>0</v>
      </c>
      <c r="H57" s="560">
        <f>H22-H55</f>
        <v>0</v>
      </c>
      <c r="I57" s="564">
        <f t="shared" ref="I57:AO57" si="58">SUM(I22-I55)</f>
        <v>0</v>
      </c>
      <c r="J57" s="561">
        <f t="shared" si="58"/>
        <v>0</v>
      </c>
      <c r="K57" s="563">
        <f t="shared" si="58"/>
        <v>0</v>
      </c>
      <c r="L57" s="562">
        <f t="shared" si="58"/>
        <v>0</v>
      </c>
      <c r="M57" s="561">
        <f t="shared" si="58"/>
        <v>0</v>
      </c>
      <c r="N57" s="560">
        <f t="shared" si="58"/>
        <v>0</v>
      </c>
      <c r="O57" s="564">
        <f t="shared" si="58"/>
        <v>0</v>
      </c>
      <c r="P57" s="561">
        <f t="shared" si="58"/>
        <v>0</v>
      </c>
      <c r="Q57" s="563">
        <f t="shared" si="58"/>
        <v>0</v>
      </c>
      <c r="R57" s="562">
        <f t="shared" si="58"/>
        <v>0</v>
      </c>
      <c r="S57" s="561">
        <f t="shared" si="58"/>
        <v>0</v>
      </c>
      <c r="T57" s="560">
        <f t="shared" si="58"/>
        <v>0</v>
      </c>
      <c r="U57" s="562">
        <f t="shared" si="58"/>
        <v>0</v>
      </c>
      <c r="V57" s="561">
        <f t="shared" si="58"/>
        <v>0</v>
      </c>
      <c r="W57" s="560">
        <f t="shared" si="58"/>
        <v>0</v>
      </c>
      <c r="X57" s="562">
        <f t="shared" si="58"/>
        <v>0</v>
      </c>
      <c r="Y57" s="561">
        <f t="shared" si="58"/>
        <v>0</v>
      </c>
      <c r="Z57" s="560">
        <f t="shared" si="58"/>
        <v>0</v>
      </c>
      <c r="AA57" s="562">
        <f t="shared" si="58"/>
        <v>0</v>
      </c>
      <c r="AB57" s="561">
        <f t="shared" si="58"/>
        <v>0</v>
      </c>
      <c r="AC57" s="560">
        <f t="shared" si="58"/>
        <v>0</v>
      </c>
      <c r="AD57" s="562">
        <f t="shared" si="58"/>
        <v>0</v>
      </c>
      <c r="AE57" s="561">
        <f t="shared" si="58"/>
        <v>0</v>
      </c>
      <c r="AF57" s="560">
        <f t="shared" si="58"/>
        <v>0</v>
      </c>
      <c r="AG57" s="562">
        <f t="shared" si="58"/>
        <v>0</v>
      </c>
      <c r="AH57" s="561">
        <f t="shared" si="58"/>
        <v>0</v>
      </c>
      <c r="AI57" s="560">
        <f t="shared" si="58"/>
        <v>0</v>
      </c>
      <c r="AJ57" s="562">
        <f t="shared" si="58"/>
        <v>0</v>
      </c>
      <c r="AK57" s="561">
        <f t="shared" si="58"/>
        <v>0</v>
      </c>
      <c r="AL57" s="560">
        <f t="shared" si="58"/>
        <v>0</v>
      </c>
      <c r="AM57" s="559">
        <f t="shared" si="58"/>
        <v>0</v>
      </c>
      <c r="AN57" s="559">
        <f t="shared" si="58"/>
        <v>0</v>
      </c>
      <c r="AO57" s="559">
        <f t="shared" si="58"/>
        <v>0</v>
      </c>
      <c r="AP57" s="558"/>
    </row>
    <row r="58" spans="2:42" s="556" customFormat="1" x14ac:dyDescent="0.15">
      <c r="B58" s="555"/>
      <c r="C58" s="555"/>
      <c r="D58" s="555"/>
      <c r="E58" s="555"/>
      <c r="F58" s="555"/>
      <c r="G58" s="555"/>
      <c r="H58" s="555" t="s">
        <v>350</v>
      </c>
      <c r="I58" s="555"/>
      <c r="J58" s="555"/>
      <c r="K58" s="555"/>
      <c r="L58" s="555"/>
      <c r="M58" s="555"/>
      <c r="N58" s="555"/>
      <c r="O58" s="555"/>
      <c r="P58" s="555"/>
      <c r="Q58" s="555"/>
      <c r="R58" s="555"/>
      <c r="S58" s="555"/>
      <c r="T58" s="555"/>
      <c r="U58" s="555"/>
      <c r="V58" s="555"/>
      <c r="W58" s="555"/>
      <c r="X58" s="555"/>
      <c r="Y58" s="555"/>
      <c r="Z58" s="555"/>
      <c r="AA58" s="555"/>
      <c r="AB58" s="555"/>
      <c r="AC58" s="555"/>
      <c r="AD58" s="555"/>
      <c r="AE58" s="555"/>
      <c r="AF58" s="555"/>
      <c r="AG58" s="555"/>
      <c r="AH58" s="555"/>
      <c r="AI58" s="555"/>
      <c r="AJ58" s="555"/>
      <c r="AK58" s="555"/>
      <c r="AL58" s="555"/>
      <c r="AM58" s="555"/>
      <c r="AN58" s="555"/>
      <c r="AO58" s="555"/>
    </row>
    <row r="59" spans="2:42" s="556" customFormat="1" ht="20" x14ac:dyDescent="0.2">
      <c r="B59" s="555"/>
      <c r="C59" s="555"/>
      <c r="D59" s="555"/>
      <c r="E59" s="557"/>
      <c r="F59" s="555"/>
      <c r="G59" s="555"/>
      <c r="H59" s="555"/>
      <c r="I59" s="555"/>
      <c r="J59" s="555"/>
      <c r="K59" s="555"/>
      <c r="L59" s="555"/>
      <c r="M59" s="555"/>
      <c r="N59" s="555"/>
      <c r="O59" s="555"/>
      <c r="P59" s="555"/>
      <c r="Q59" s="555"/>
      <c r="R59" s="555"/>
      <c r="S59" s="555"/>
      <c r="T59" s="555"/>
      <c r="U59" s="555"/>
      <c r="V59" s="555"/>
      <c r="W59" s="555"/>
      <c r="X59" s="555"/>
      <c r="Y59" s="555"/>
      <c r="Z59" s="555"/>
      <c r="AA59" s="555"/>
      <c r="AB59" s="555"/>
      <c r="AC59" s="555"/>
      <c r="AD59" s="555"/>
      <c r="AE59" s="555"/>
      <c r="AF59" s="555"/>
      <c r="AG59" s="555"/>
      <c r="AH59" s="555"/>
      <c r="AI59" s="555"/>
      <c r="AJ59" s="555"/>
      <c r="AK59" s="555"/>
      <c r="AL59" s="555"/>
      <c r="AM59" s="555"/>
      <c r="AN59" s="555"/>
      <c r="AO59" s="555"/>
    </row>
    <row r="60" spans="2:42" s="556" customFormat="1" x14ac:dyDescent="0.15">
      <c r="B60" s="555"/>
      <c r="C60" s="555"/>
      <c r="D60" s="555"/>
      <c r="E60" s="555"/>
      <c r="F60" s="555"/>
      <c r="G60" s="555"/>
      <c r="H60" s="555"/>
      <c r="I60" s="555"/>
      <c r="J60" s="555"/>
      <c r="K60" s="555"/>
      <c r="L60" s="555"/>
      <c r="M60" s="555"/>
      <c r="N60" s="555"/>
      <c r="O60" s="555"/>
      <c r="P60" s="555"/>
      <c r="Q60" s="555"/>
      <c r="R60" s="555"/>
      <c r="S60" s="555"/>
      <c r="T60" s="555"/>
      <c r="U60" s="555"/>
      <c r="V60" s="555"/>
      <c r="W60" s="555"/>
      <c r="X60" s="555"/>
      <c r="Y60" s="555"/>
      <c r="Z60" s="555"/>
      <c r="AA60" s="555"/>
      <c r="AB60" s="555"/>
      <c r="AC60" s="555"/>
      <c r="AD60" s="555"/>
      <c r="AE60" s="555"/>
      <c r="AF60" s="555"/>
      <c r="AG60" s="555"/>
      <c r="AH60" s="555"/>
      <c r="AI60" s="555"/>
      <c r="AJ60" s="555"/>
      <c r="AK60" s="555"/>
      <c r="AL60" s="555"/>
      <c r="AM60" s="555"/>
      <c r="AN60" s="555"/>
      <c r="AO60" s="555"/>
    </row>
    <row r="61" spans="2:42" s="556" customFormat="1" x14ac:dyDescent="0.15">
      <c r="B61" s="555"/>
      <c r="C61" s="555"/>
      <c r="D61" s="555"/>
      <c r="E61" s="555"/>
      <c r="F61" s="555"/>
      <c r="G61" s="555"/>
      <c r="H61" s="555"/>
      <c r="I61" s="555"/>
      <c r="J61" s="555"/>
      <c r="K61" s="555"/>
      <c r="L61" s="555"/>
      <c r="M61" s="555"/>
      <c r="N61" s="555"/>
      <c r="O61" s="555"/>
      <c r="P61" s="555"/>
      <c r="Q61" s="555"/>
      <c r="R61" s="555"/>
      <c r="S61" s="555"/>
      <c r="T61" s="555"/>
      <c r="U61" s="555"/>
      <c r="V61" s="555"/>
      <c r="W61" s="555"/>
      <c r="X61" s="555"/>
      <c r="Y61" s="555"/>
      <c r="Z61" s="555"/>
      <c r="AA61" s="555"/>
      <c r="AB61" s="555"/>
      <c r="AC61" s="555"/>
      <c r="AD61" s="555"/>
      <c r="AE61" s="555"/>
      <c r="AF61" s="555"/>
      <c r="AG61" s="555"/>
      <c r="AH61" s="555"/>
      <c r="AI61" s="555"/>
      <c r="AJ61" s="555"/>
      <c r="AK61" s="555"/>
      <c r="AL61" s="555"/>
      <c r="AM61" s="555"/>
      <c r="AN61" s="555"/>
      <c r="AO61" s="555"/>
    </row>
    <row r="62" spans="2:42" s="556" customFormat="1" x14ac:dyDescent="0.15">
      <c r="B62" s="555"/>
      <c r="C62" s="555"/>
      <c r="D62" s="555"/>
      <c r="E62" s="555"/>
      <c r="F62" s="555"/>
      <c r="G62" s="555"/>
      <c r="H62" s="555"/>
      <c r="I62" s="555"/>
      <c r="J62" s="555"/>
      <c r="K62" s="555"/>
      <c r="L62" s="555"/>
      <c r="M62" s="555"/>
      <c r="N62" s="555"/>
      <c r="O62" s="555"/>
      <c r="P62" s="555"/>
      <c r="Q62" s="555"/>
      <c r="R62" s="555"/>
      <c r="S62" s="555"/>
      <c r="T62" s="555"/>
      <c r="U62" s="555"/>
      <c r="V62" s="555"/>
      <c r="W62" s="555"/>
      <c r="X62" s="555"/>
      <c r="Y62" s="555"/>
      <c r="Z62" s="555"/>
      <c r="AA62" s="555"/>
      <c r="AB62" s="555"/>
      <c r="AC62" s="555"/>
      <c r="AD62" s="555"/>
      <c r="AE62" s="555"/>
      <c r="AF62" s="555"/>
      <c r="AG62" s="555"/>
      <c r="AH62" s="555"/>
      <c r="AI62" s="555"/>
      <c r="AJ62" s="555"/>
      <c r="AK62" s="555"/>
      <c r="AL62" s="555"/>
      <c r="AM62" s="555"/>
      <c r="AN62" s="555"/>
      <c r="AO62" s="555"/>
    </row>
    <row r="63" spans="2:42" s="556" customFormat="1" x14ac:dyDescent="0.15">
      <c r="B63" s="555"/>
      <c r="C63" s="555"/>
      <c r="D63" s="555"/>
      <c r="E63" s="555"/>
      <c r="F63" s="555"/>
      <c r="G63" s="555"/>
      <c r="H63" s="555"/>
      <c r="I63" s="555"/>
      <c r="J63" s="555"/>
      <c r="K63" s="555"/>
      <c r="L63" s="555"/>
      <c r="M63" s="555"/>
      <c r="N63" s="555"/>
      <c r="O63" s="555"/>
      <c r="P63" s="555"/>
      <c r="Q63" s="555"/>
      <c r="R63" s="555"/>
      <c r="S63" s="555"/>
      <c r="T63" s="555"/>
      <c r="U63" s="555"/>
      <c r="V63" s="555"/>
      <c r="W63" s="555"/>
      <c r="X63" s="555"/>
      <c r="Y63" s="555"/>
      <c r="Z63" s="555"/>
      <c r="AA63" s="555"/>
      <c r="AB63" s="555"/>
      <c r="AC63" s="555"/>
      <c r="AD63" s="555"/>
      <c r="AE63" s="555"/>
      <c r="AF63" s="555"/>
      <c r="AG63" s="555"/>
      <c r="AH63" s="555"/>
      <c r="AI63" s="555"/>
      <c r="AJ63" s="555"/>
      <c r="AK63" s="555"/>
      <c r="AL63" s="555"/>
      <c r="AM63" s="555"/>
      <c r="AN63" s="555"/>
      <c r="AO63" s="555"/>
    </row>
    <row r="65" spans="2:41" ht="21.75" customHeight="1" x14ac:dyDescent="0.15"/>
    <row r="66" spans="2:41" s="556" customFormat="1" ht="13.5" customHeight="1" x14ac:dyDescent="0.15">
      <c r="B66" s="555"/>
      <c r="C66" s="555"/>
      <c r="D66" s="555"/>
      <c r="E66" s="555"/>
      <c r="F66" s="555"/>
      <c r="G66" s="555"/>
      <c r="H66" s="555"/>
      <c r="I66" s="555"/>
      <c r="J66" s="555"/>
      <c r="K66" s="555"/>
      <c r="L66" s="555"/>
      <c r="M66" s="555"/>
      <c r="N66" s="555"/>
      <c r="O66" s="555"/>
      <c r="P66" s="555"/>
      <c r="Q66" s="555"/>
      <c r="R66" s="555"/>
      <c r="S66" s="555"/>
      <c r="T66" s="555"/>
      <c r="U66" s="555"/>
      <c r="V66" s="555"/>
      <c r="W66" s="555"/>
      <c r="X66" s="555"/>
      <c r="Y66" s="555"/>
      <c r="Z66" s="555"/>
      <c r="AA66" s="555"/>
      <c r="AB66" s="555"/>
      <c r="AC66" s="555"/>
      <c r="AD66" s="555"/>
      <c r="AE66" s="555"/>
      <c r="AF66" s="555"/>
      <c r="AG66" s="555"/>
      <c r="AH66" s="555"/>
      <c r="AI66" s="555"/>
      <c r="AJ66" s="555"/>
      <c r="AK66" s="555"/>
      <c r="AL66" s="555"/>
      <c r="AM66" s="555"/>
      <c r="AN66" s="555"/>
      <c r="AO66" s="555"/>
    </row>
    <row r="67" spans="2:41" s="556" customFormat="1" x14ac:dyDescent="0.15">
      <c r="B67" s="555"/>
      <c r="C67" s="555"/>
      <c r="D67" s="555"/>
      <c r="E67" s="555"/>
      <c r="F67" s="555"/>
      <c r="G67" s="555"/>
      <c r="H67" s="555"/>
      <c r="I67" s="555"/>
      <c r="J67" s="555"/>
      <c r="K67" s="555"/>
      <c r="L67" s="555"/>
      <c r="M67" s="555"/>
      <c r="N67" s="555"/>
      <c r="O67" s="555"/>
      <c r="P67" s="555"/>
      <c r="Q67" s="555"/>
      <c r="R67" s="555"/>
      <c r="S67" s="555"/>
      <c r="T67" s="555"/>
      <c r="U67" s="555"/>
      <c r="V67" s="555"/>
      <c r="W67" s="555"/>
      <c r="X67" s="555"/>
      <c r="Y67" s="555"/>
      <c r="Z67" s="555"/>
      <c r="AA67" s="555"/>
      <c r="AB67" s="555"/>
      <c r="AC67" s="555"/>
      <c r="AD67" s="555"/>
      <c r="AE67" s="555"/>
      <c r="AF67" s="555"/>
      <c r="AG67" s="555"/>
      <c r="AH67" s="555"/>
      <c r="AI67" s="555"/>
      <c r="AJ67" s="555"/>
      <c r="AK67" s="555"/>
      <c r="AL67" s="555"/>
      <c r="AM67" s="555"/>
      <c r="AN67" s="555"/>
      <c r="AO67" s="555"/>
    </row>
    <row r="68" spans="2:41" s="556" customFormat="1" x14ac:dyDescent="0.15">
      <c r="B68" s="555"/>
      <c r="C68" s="555"/>
      <c r="D68" s="555"/>
      <c r="E68" s="555"/>
      <c r="F68" s="555"/>
      <c r="G68" s="555"/>
      <c r="H68" s="555"/>
      <c r="I68" s="555"/>
      <c r="J68" s="555"/>
      <c r="K68" s="555"/>
      <c r="L68" s="555"/>
      <c r="M68" s="555"/>
      <c r="N68" s="555"/>
      <c r="O68" s="555"/>
      <c r="P68" s="555"/>
      <c r="Q68" s="555"/>
      <c r="R68" s="555"/>
      <c r="S68" s="555"/>
      <c r="T68" s="555"/>
      <c r="U68" s="555"/>
      <c r="V68" s="555"/>
      <c r="W68" s="555"/>
      <c r="X68" s="555"/>
      <c r="Y68" s="555"/>
      <c r="Z68" s="555"/>
      <c r="AA68" s="555"/>
      <c r="AB68" s="555"/>
      <c r="AC68" s="555"/>
      <c r="AD68" s="555"/>
      <c r="AE68" s="555"/>
      <c r="AF68" s="555"/>
      <c r="AG68" s="555"/>
      <c r="AH68" s="555"/>
      <c r="AI68" s="555"/>
      <c r="AJ68" s="555"/>
      <c r="AK68" s="555"/>
      <c r="AL68" s="555"/>
      <c r="AM68" s="555"/>
      <c r="AN68" s="555"/>
      <c r="AO68" s="555"/>
    </row>
    <row r="69" spans="2:41" s="556" customFormat="1" x14ac:dyDescent="0.15">
      <c r="B69" s="555"/>
      <c r="C69" s="555"/>
      <c r="D69" s="555"/>
      <c r="E69" s="555"/>
      <c r="F69" s="555"/>
      <c r="G69" s="555"/>
      <c r="H69" s="555"/>
      <c r="I69" s="555"/>
      <c r="J69" s="555"/>
      <c r="K69" s="555"/>
      <c r="L69" s="555"/>
      <c r="M69" s="555"/>
      <c r="N69" s="555"/>
      <c r="O69" s="555"/>
      <c r="P69" s="555"/>
      <c r="Q69" s="555"/>
      <c r="R69" s="555"/>
      <c r="S69" s="555"/>
      <c r="T69" s="555"/>
      <c r="U69" s="555"/>
      <c r="V69" s="555"/>
      <c r="W69" s="555"/>
      <c r="X69" s="555"/>
      <c r="Y69" s="555"/>
      <c r="Z69" s="555"/>
      <c r="AA69" s="555"/>
      <c r="AB69" s="555"/>
      <c r="AC69" s="555"/>
      <c r="AD69" s="555"/>
      <c r="AE69" s="555"/>
      <c r="AF69" s="555"/>
      <c r="AG69" s="555"/>
      <c r="AH69" s="555"/>
      <c r="AI69" s="555"/>
      <c r="AJ69" s="555"/>
      <c r="AK69" s="555"/>
      <c r="AL69" s="555"/>
      <c r="AM69" s="555"/>
      <c r="AN69" s="555"/>
      <c r="AO69" s="555"/>
    </row>
    <row r="70" spans="2:41" s="556" customFormat="1" x14ac:dyDescent="0.15">
      <c r="B70" s="555"/>
      <c r="C70" s="555"/>
      <c r="D70" s="555"/>
      <c r="E70" s="555"/>
      <c r="F70" s="555"/>
      <c r="G70" s="555"/>
      <c r="H70" s="555"/>
      <c r="I70" s="555"/>
      <c r="J70" s="555"/>
      <c r="K70" s="555"/>
      <c r="L70" s="555"/>
      <c r="M70" s="555"/>
      <c r="N70" s="555"/>
      <c r="O70" s="555"/>
      <c r="P70" s="555"/>
      <c r="Q70" s="555"/>
      <c r="R70" s="555"/>
      <c r="S70" s="555"/>
      <c r="T70" s="555"/>
      <c r="U70" s="555"/>
      <c r="V70" s="555"/>
      <c r="W70" s="555"/>
      <c r="X70" s="555"/>
      <c r="Y70" s="555"/>
      <c r="Z70" s="555"/>
      <c r="AA70" s="555"/>
      <c r="AB70" s="555"/>
      <c r="AC70" s="555"/>
      <c r="AD70" s="555"/>
      <c r="AE70" s="555"/>
      <c r="AF70" s="555"/>
      <c r="AG70" s="555"/>
      <c r="AH70" s="555"/>
      <c r="AI70" s="555"/>
      <c r="AJ70" s="555"/>
      <c r="AK70" s="555"/>
      <c r="AL70" s="555"/>
      <c r="AM70" s="555"/>
      <c r="AN70" s="555"/>
      <c r="AO70" s="555"/>
    </row>
    <row r="71" spans="2:41" s="556" customFormat="1" x14ac:dyDescent="0.15">
      <c r="B71" s="555"/>
      <c r="C71" s="555"/>
      <c r="D71" s="555"/>
      <c r="E71" s="555"/>
      <c r="F71" s="555"/>
      <c r="G71" s="555"/>
      <c r="H71" s="555"/>
      <c r="I71" s="555"/>
      <c r="J71" s="555"/>
      <c r="K71" s="555"/>
      <c r="L71" s="555"/>
      <c r="M71" s="555"/>
      <c r="N71" s="555"/>
      <c r="O71" s="555"/>
      <c r="P71" s="555"/>
      <c r="Q71" s="555"/>
      <c r="R71" s="555"/>
      <c r="S71" s="555"/>
      <c r="T71" s="555"/>
      <c r="U71" s="555"/>
      <c r="V71" s="555"/>
      <c r="W71" s="555"/>
      <c r="X71" s="555"/>
      <c r="Y71" s="555"/>
      <c r="Z71" s="555"/>
      <c r="AA71" s="555"/>
      <c r="AB71" s="555"/>
      <c r="AC71" s="555"/>
      <c r="AD71" s="555"/>
      <c r="AE71" s="555"/>
      <c r="AF71" s="555"/>
      <c r="AG71" s="555"/>
      <c r="AH71" s="555"/>
      <c r="AI71" s="555"/>
      <c r="AJ71" s="555"/>
      <c r="AK71" s="555"/>
      <c r="AL71" s="555"/>
      <c r="AM71" s="555"/>
      <c r="AN71" s="555"/>
      <c r="AO71" s="555"/>
    </row>
    <row r="72" spans="2:41" s="556" customFormat="1" x14ac:dyDescent="0.15">
      <c r="B72" s="555"/>
      <c r="C72" s="555"/>
      <c r="D72" s="555"/>
      <c r="E72" s="555"/>
      <c r="F72" s="555"/>
      <c r="G72" s="555"/>
      <c r="H72" s="555"/>
      <c r="I72" s="555"/>
      <c r="J72" s="555"/>
      <c r="K72" s="555"/>
      <c r="L72" s="555"/>
      <c r="M72" s="555"/>
      <c r="N72" s="555"/>
      <c r="O72" s="555"/>
      <c r="P72" s="555"/>
      <c r="Q72" s="555"/>
      <c r="R72" s="555"/>
      <c r="S72" s="555"/>
      <c r="T72" s="555"/>
      <c r="U72" s="555"/>
      <c r="V72" s="555"/>
      <c r="W72" s="555"/>
      <c r="X72" s="555"/>
      <c r="Y72" s="555"/>
      <c r="Z72" s="555"/>
      <c r="AA72" s="555"/>
      <c r="AB72" s="555"/>
      <c r="AC72" s="555"/>
      <c r="AD72" s="555"/>
      <c r="AE72" s="555"/>
      <c r="AF72" s="555"/>
      <c r="AG72" s="555"/>
      <c r="AH72" s="555"/>
      <c r="AI72" s="555"/>
      <c r="AJ72" s="555"/>
      <c r="AK72" s="555"/>
      <c r="AL72" s="555"/>
      <c r="AM72" s="555"/>
      <c r="AN72" s="555"/>
      <c r="AO72" s="555"/>
    </row>
    <row r="74" spans="2:41" ht="21.75" customHeight="1" x14ac:dyDescent="0.15"/>
    <row r="75" spans="2:41" s="556" customFormat="1" x14ac:dyDescent="0.15">
      <c r="B75" s="555"/>
      <c r="C75" s="555"/>
      <c r="D75" s="555"/>
      <c r="E75" s="555"/>
      <c r="F75" s="555"/>
      <c r="G75" s="555"/>
      <c r="H75" s="555"/>
      <c r="I75" s="555"/>
      <c r="J75" s="555"/>
      <c r="K75" s="555"/>
      <c r="L75" s="555"/>
      <c r="M75" s="555"/>
      <c r="N75" s="555"/>
      <c r="O75" s="555"/>
      <c r="P75" s="555"/>
      <c r="Q75" s="555"/>
      <c r="R75" s="555"/>
      <c r="S75" s="555"/>
      <c r="T75" s="555"/>
      <c r="U75" s="555"/>
      <c r="V75" s="555"/>
      <c r="W75" s="555"/>
      <c r="X75" s="555"/>
      <c r="Y75" s="555"/>
      <c r="Z75" s="555"/>
      <c r="AA75" s="555"/>
      <c r="AB75" s="555"/>
      <c r="AC75" s="555"/>
      <c r="AD75" s="555"/>
      <c r="AE75" s="555"/>
      <c r="AF75" s="555"/>
      <c r="AG75" s="555"/>
      <c r="AH75" s="555"/>
      <c r="AI75" s="555"/>
      <c r="AJ75" s="555"/>
      <c r="AK75" s="555"/>
      <c r="AL75" s="555"/>
      <c r="AM75" s="555"/>
      <c r="AN75" s="555"/>
      <c r="AO75" s="555"/>
    </row>
    <row r="76" spans="2:41" s="556" customFormat="1" x14ac:dyDescent="0.15">
      <c r="B76" s="555"/>
      <c r="C76" s="555"/>
      <c r="D76" s="555"/>
      <c r="E76" s="555"/>
      <c r="F76" s="555"/>
      <c r="G76" s="555"/>
      <c r="H76" s="555"/>
      <c r="I76" s="555"/>
      <c r="J76" s="555"/>
      <c r="K76" s="555"/>
      <c r="L76" s="555"/>
      <c r="M76" s="555"/>
      <c r="N76" s="555"/>
      <c r="O76" s="555"/>
      <c r="P76" s="555"/>
      <c r="Q76" s="555"/>
      <c r="R76" s="555"/>
      <c r="S76" s="555"/>
      <c r="T76" s="555"/>
      <c r="U76" s="555"/>
      <c r="V76" s="555"/>
      <c r="W76" s="555"/>
      <c r="X76" s="555"/>
      <c r="Y76" s="555"/>
      <c r="Z76" s="555"/>
      <c r="AA76" s="555"/>
      <c r="AB76" s="555"/>
      <c r="AC76" s="555"/>
      <c r="AD76" s="555"/>
      <c r="AE76" s="555"/>
      <c r="AF76" s="555"/>
      <c r="AG76" s="555"/>
      <c r="AH76" s="555"/>
      <c r="AI76" s="555"/>
      <c r="AJ76" s="555"/>
      <c r="AK76" s="555"/>
      <c r="AL76" s="555"/>
      <c r="AM76" s="555"/>
      <c r="AN76" s="555"/>
      <c r="AO76" s="555"/>
    </row>
    <row r="77" spans="2:41" s="556" customFormat="1" x14ac:dyDescent="0.15">
      <c r="B77" s="555"/>
      <c r="C77" s="555"/>
      <c r="D77" s="555"/>
      <c r="E77" s="555"/>
      <c r="F77" s="555"/>
      <c r="G77" s="555"/>
      <c r="H77" s="555"/>
      <c r="I77" s="555"/>
      <c r="J77" s="555"/>
      <c r="K77" s="555"/>
      <c r="L77" s="555"/>
      <c r="M77" s="555"/>
      <c r="N77" s="555"/>
      <c r="O77" s="555"/>
      <c r="P77" s="555"/>
      <c r="Q77" s="555"/>
      <c r="R77" s="555"/>
      <c r="S77" s="555"/>
      <c r="T77" s="555"/>
      <c r="U77" s="555"/>
      <c r="V77" s="555"/>
      <c r="W77" s="555"/>
      <c r="X77" s="555"/>
      <c r="Y77" s="555"/>
      <c r="Z77" s="555"/>
      <c r="AA77" s="555"/>
      <c r="AB77" s="555"/>
      <c r="AC77" s="555"/>
      <c r="AD77" s="555"/>
      <c r="AE77" s="555"/>
      <c r="AF77" s="555"/>
      <c r="AG77" s="555"/>
      <c r="AH77" s="555"/>
      <c r="AI77" s="555"/>
      <c r="AJ77" s="555"/>
      <c r="AK77" s="555"/>
      <c r="AL77" s="555"/>
      <c r="AM77" s="555"/>
      <c r="AN77" s="555"/>
      <c r="AO77" s="555"/>
    </row>
    <row r="78" spans="2:41" s="556" customFormat="1" x14ac:dyDescent="0.15">
      <c r="B78" s="555"/>
      <c r="C78" s="555"/>
      <c r="D78" s="555"/>
      <c r="E78" s="555"/>
      <c r="F78" s="555"/>
      <c r="G78" s="555"/>
      <c r="H78" s="555"/>
      <c r="I78" s="555"/>
      <c r="J78" s="555"/>
      <c r="K78" s="555"/>
      <c r="L78" s="555"/>
      <c r="M78" s="555"/>
      <c r="N78" s="555"/>
      <c r="O78" s="555"/>
      <c r="P78" s="555"/>
      <c r="Q78" s="555"/>
      <c r="R78" s="555"/>
      <c r="S78" s="555"/>
      <c r="T78" s="555"/>
      <c r="U78" s="555"/>
      <c r="V78" s="555"/>
      <c r="W78" s="555"/>
      <c r="X78" s="555"/>
      <c r="Y78" s="555"/>
      <c r="Z78" s="555"/>
      <c r="AA78" s="555"/>
      <c r="AB78" s="555"/>
      <c r="AC78" s="555"/>
      <c r="AD78" s="555"/>
      <c r="AE78" s="555"/>
      <c r="AF78" s="555"/>
      <c r="AG78" s="555"/>
      <c r="AH78" s="555"/>
      <c r="AI78" s="555"/>
      <c r="AJ78" s="555"/>
      <c r="AK78" s="555"/>
      <c r="AL78" s="555"/>
      <c r="AM78" s="555"/>
      <c r="AN78" s="555"/>
      <c r="AO78" s="555"/>
    </row>
    <row r="79" spans="2:41" s="556" customFormat="1" x14ac:dyDescent="0.15">
      <c r="B79" s="555"/>
      <c r="C79" s="555"/>
      <c r="D79" s="555"/>
      <c r="E79" s="555"/>
      <c r="F79" s="555"/>
      <c r="G79" s="555"/>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555"/>
    </row>
    <row r="81" spans="2:41" ht="21.75" customHeight="1" x14ac:dyDescent="0.15"/>
    <row r="82" spans="2:41" s="556" customFormat="1" x14ac:dyDescent="0.15">
      <c r="B82" s="555"/>
      <c r="C82" s="555"/>
      <c r="D82" s="555"/>
      <c r="E82" s="555"/>
      <c r="F82" s="555"/>
      <c r="G82" s="555"/>
      <c r="H82" s="555"/>
      <c r="I82" s="555"/>
      <c r="J82" s="555"/>
      <c r="K82" s="555"/>
      <c r="L82" s="555"/>
      <c r="M82" s="555"/>
      <c r="N82" s="555"/>
      <c r="O82" s="555"/>
      <c r="P82" s="555"/>
      <c r="Q82" s="555"/>
      <c r="R82" s="555"/>
      <c r="S82" s="555"/>
      <c r="T82" s="555"/>
      <c r="U82" s="555"/>
      <c r="V82" s="555"/>
      <c r="W82" s="555"/>
      <c r="X82" s="555"/>
      <c r="Y82" s="555"/>
      <c r="Z82" s="555"/>
      <c r="AA82" s="555"/>
      <c r="AB82" s="555"/>
      <c r="AC82" s="555"/>
      <c r="AD82" s="555"/>
      <c r="AE82" s="555"/>
      <c r="AF82" s="555"/>
      <c r="AG82" s="555"/>
      <c r="AH82" s="555"/>
      <c r="AI82" s="555"/>
      <c r="AJ82" s="555"/>
      <c r="AK82" s="555"/>
      <c r="AL82" s="555"/>
      <c r="AM82" s="555"/>
      <c r="AN82" s="555"/>
      <c r="AO82" s="555"/>
    </row>
    <row r="83" spans="2:41" s="556" customFormat="1" x14ac:dyDescent="0.15">
      <c r="B83" s="555"/>
      <c r="C83" s="555"/>
      <c r="D83" s="555"/>
      <c r="E83" s="555"/>
      <c r="F83" s="555"/>
      <c r="G83" s="555"/>
      <c r="H83" s="555"/>
      <c r="I83" s="555"/>
      <c r="J83" s="555"/>
      <c r="K83" s="555"/>
      <c r="L83" s="555"/>
      <c r="M83" s="555"/>
      <c r="N83" s="555"/>
      <c r="O83" s="555"/>
      <c r="P83" s="555"/>
      <c r="Q83" s="555"/>
      <c r="R83" s="555"/>
      <c r="S83" s="555"/>
      <c r="T83" s="555"/>
      <c r="U83" s="555"/>
      <c r="V83" s="555"/>
      <c r="W83" s="555"/>
      <c r="X83" s="555"/>
      <c r="Y83" s="555"/>
      <c r="Z83" s="555"/>
      <c r="AA83" s="555"/>
      <c r="AB83" s="555"/>
      <c r="AC83" s="555"/>
      <c r="AD83" s="555"/>
      <c r="AE83" s="555"/>
      <c r="AF83" s="555"/>
      <c r="AG83" s="555"/>
      <c r="AH83" s="555"/>
      <c r="AI83" s="555"/>
      <c r="AJ83" s="555"/>
      <c r="AK83" s="555"/>
      <c r="AL83" s="555"/>
      <c r="AM83" s="555"/>
      <c r="AN83" s="555"/>
      <c r="AO83" s="555"/>
    </row>
    <row r="84" spans="2:41" s="556" customFormat="1" x14ac:dyDescent="0.15">
      <c r="B84" s="555"/>
      <c r="C84" s="555"/>
      <c r="D84" s="555"/>
      <c r="E84" s="555"/>
      <c r="F84" s="555"/>
      <c r="G84" s="555"/>
      <c r="H84" s="555"/>
      <c r="I84" s="555"/>
      <c r="J84" s="555"/>
      <c r="K84" s="555"/>
      <c r="L84" s="555"/>
      <c r="M84" s="555"/>
      <c r="N84" s="555"/>
      <c r="O84" s="555"/>
      <c r="P84" s="555"/>
      <c r="Q84" s="555"/>
      <c r="R84" s="555"/>
      <c r="S84" s="555"/>
      <c r="T84" s="555"/>
      <c r="U84" s="555"/>
      <c r="V84" s="555"/>
      <c r="W84" s="555"/>
      <c r="X84" s="555"/>
      <c r="Y84" s="555"/>
      <c r="Z84" s="555"/>
      <c r="AA84" s="555"/>
      <c r="AB84" s="555"/>
      <c r="AC84" s="555"/>
      <c r="AD84" s="555"/>
      <c r="AE84" s="555"/>
      <c r="AF84" s="555"/>
      <c r="AG84" s="555"/>
      <c r="AH84" s="555"/>
      <c r="AI84" s="555"/>
      <c r="AJ84" s="555"/>
      <c r="AK84" s="555"/>
      <c r="AL84" s="555"/>
      <c r="AM84" s="555"/>
      <c r="AN84" s="555"/>
      <c r="AO84" s="555"/>
    </row>
    <row r="85" spans="2:41" s="556" customFormat="1" x14ac:dyDescent="0.15">
      <c r="B85" s="555"/>
      <c r="C85" s="555"/>
      <c r="D85" s="555"/>
      <c r="E85" s="555"/>
      <c r="F85" s="555"/>
      <c r="G85" s="555"/>
      <c r="H85" s="555"/>
      <c r="I85" s="555"/>
      <c r="J85" s="555"/>
      <c r="K85" s="555"/>
      <c r="L85" s="555"/>
      <c r="M85" s="555"/>
      <c r="N85" s="555"/>
      <c r="O85" s="555"/>
      <c r="P85" s="555"/>
      <c r="Q85" s="555"/>
      <c r="R85" s="555"/>
      <c r="S85" s="555"/>
      <c r="T85" s="555"/>
      <c r="U85" s="555"/>
      <c r="V85" s="555"/>
      <c r="W85" s="555"/>
      <c r="X85" s="555"/>
      <c r="Y85" s="555"/>
      <c r="Z85" s="555"/>
      <c r="AA85" s="555"/>
      <c r="AB85" s="555"/>
      <c r="AC85" s="555"/>
      <c r="AD85" s="555"/>
      <c r="AE85" s="555"/>
      <c r="AF85" s="555"/>
      <c r="AG85" s="555"/>
      <c r="AH85" s="555"/>
      <c r="AI85" s="555"/>
      <c r="AJ85" s="555"/>
      <c r="AK85" s="555"/>
      <c r="AL85" s="555"/>
      <c r="AM85" s="555"/>
      <c r="AN85" s="555"/>
      <c r="AO85" s="555"/>
    </row>
    <row r="86" spans="2:41" s="556" customFormat="1" x14ac:dyDescent="0.15">
      <c r="B86" s="555"/>
      <c r="C86" s="555"/>
      <c r="D86" s="555"/>
      <c r="E86" s="555"/>
      <c r="F86" s="555"/>
      <c r="G86" s="555"/>
      <c r="H86" s="555"/>
      <c r="I86" s="555"/>
      <c r="J86" s="555"/>
      <c r="K86" s="555"/>
      <c r="L86" s="555"/>
      <c r="M86" s="555"/>
      <c r="N86" s="555"/>
      <c r="O86" s="555"/>
      <c r="P86" s="555"/>
      <c r="Q86" s="555"/>
      <c r="R86" s="555"/>
      <c r="S86" s="555"/>
      <c r="T86" s="555"/>
      <c r="U86" s="555"/>
      <c r="V86" s="555"/>
      <c r="W86" s="555"/>
      <c r="X86" s="555"/>
      <c r="Y86" s="555"/>
      <c r="Z86" s="555"/>
      <c r="AA86" s="555"/>
      <c r="AB86" s="555"/>
      <c r="AC86" s="555"/>
      <c r="AD86" s="555"/>
      <c r="AE86" s="555"/>
      <c r="AF86" s="555"/>
      <c r="AG86" s="555"/>
      <c r="AH86" s="555"/>
      <c r="AI86" s="555"/>
      <c r="AJ86" s="555"/>
      <c r="AK86" s="555"/>
      <c r="AL86" s="555"/>
      <c r="AM86" s="555"/>
      <c r="AN86" s="555"/>
      <c r="AO86" s="555"/>
    </row>
    <row r="87" spans="2:41" s="556" customFormat="1" x14ac:dyDescent="0.15">
      <c r="B87" s="555"/>
      <c r="C87" s="555"/>
      <c r="D87" s="555"/>
      <c r="E87" s="555"/>
      <c r="F87" s="555"/>
      <c r="G87" s="555"/>
      <c r="H87" s="555"/>
      <c r="I87" s="555"/>
      <c r="J87" s="555"/>
      <c r="K87" s="555"/>
      <c r="L87" s="555"/>
      <c r="M87" s="555"/>
      <c r="N87" s="555"/>
      <c r="O87" s="555"/>
      <c r="P87" s="555"/>
      <c r="Q87" s="555"/>
      <c r="R87" s="555"/>
      <c r="S87" s="555"/>
      <c r="T87" s="555"/>
      <c r="U87" s="555"/>
      <c r="V87" s="555"/>
      <c r="W87" s="555"/>
      <c r="X87" s="555"/>
      <c r="Y87" s="555"/>
      <c r="Z87" s="555"/>
      <c r="AA87" s="555"/>
      <c r="AB87" s="555"/>
      <c r="AC87" s="555"/>
      <c r="AD87" s="555"/>
      <c r="AE87" s="555"/>
      <c r="AF87" s="555"/>
      <c r="AG87" s="555"/>
      <c r="AH87" s="555"/>
      <c r="AI87" s="555"/>
      <c r="AJ87" s="555"/>
      <c r="AK87" s="555"/>
      <c r="AL87" s="555"/>
      <c r="AM87" s="555"/>
      <c r="AN87" s="555"/>
      <c r="AO87" s="555"/>
    </row>
    <row r="88" spans="2:41" s="556" customFormat="1" x14ac:dyDescent="0.15">
      <c r="B88" s="555"/>
      <c r="C88" s="555"/>
      <c r="D88" s="555"/>
      <c r="E88" s="555"/>
      <c r="F88" s="555"/>
      <c r="G88" s="555"/>
      <c r="H88" s="555"/>
      <c r="I88" s="555"/>
      <c r="J88" s="555"/>
      <c r="K88" s="555"/>
      <c r="L88" s="555"/>
      <c r="M88" s="555"/>
      <c r="N88" s="555"/>
      <c r="O88" s="555"/>
      <c r="P88" s="555"/>
      <c r="Q88" s="555"/>
      <c r="R88" s="555"/>
      <c r="S88" s="555"/>
      <c r="T88" s="555"/>
      <c r="U88" s="555"/>
      <c r="V88" s="555"/>
      <c r="W88" s="555"/>
      <c r="X88" s="555"/>
      <c r="Y88" s="555"/>
      <c r="Z88" s="555"/>
      <c r="AA88" s="555"/>
      <c r="AB88" s="555"/>
      <c r="AC88" s="555"/>
      <c r="AD88" s="555"/>
      <c r="AE88" s="555"/>
      <c r="AF88" s="555"/>
      <c r="AG88" s="555"/>
      <c r="AH88" s="555"/>
      <c r="AI88" s="555"/>
      <c r="AJ88" s="555"/>
      <c r="AK88" s="555"/>
      <c r="AL88" s="555"/>
      <c r="AM88" s="555"/>
      <c r="AN88" s="555"/>
      <c r="AO88" s="555"/>
    </row>
    <row r="89" spans="2:41" s="556" customFormat="1" x14ac:dyDescent="0.15">
      <c r="B89" s="555"/>
      <c r="C89" s="555"/>
      <c r="D89" s="555"/>
      <c r="E89" s="555"/>
      <c r="F89" s="555"/>
      <c r="G89" s="555"/>
      <c r="H89" s="555"/>
      <c r="I89" s="555"/>
      <c r="J89" s="555"/>
      <c r="K89" s="555"/>
      <c r="L89" s="555"/>
      <c r="M89" s="555"/>
      <c r="N89" s="555"/>
      <c r="O89" s="555"/>
      <c r="P89" s="555"/>
      <c r="Q89" s="555"/>
      <c r="R89" s="555"/>
      <c r="S89" s="555"/>
      <c r="T89" s="555"/>
      <c r="U89" s="555"/>
      <c r="V89" s="555"/>
      <c r="W89" s="555"/>
      <c r="X89" s="555"/>
      <c r="Y89" s="555"/>
      <c r="Z89" s="555"/>
      <c r="AA89" s="555"/>
      <c r="AB89" s="555"/>
      <c r="AC89" s="555"/>
      <c r="AD89" s="555"/>
      <c r="AE89" s="555"/>
      <c r="AF89" s="555"/>
      <c r="AG89" s="555"/>
      <c r="AH89" s="555"/>
      <c r="AI89" s="555"/>
      <c r="AJ89" s="555"/>
      <c r="AK89" s="555"/>
      <c r="AL89" s="555"/>
      <c r="AM89" s="555"/>
      <c r="AN89" s="555"/>
      <c r="AO89" s="555"/>
    </row>
    <row r="91" spans="2:41" ht="21.75" customHeight="1" x14ac:dyDescent="0.15"/>
    <row r="92" spans="2:41" s="556" customFormat="1" x14ac:dyDescent="0.15">
      <c r="B92" s="555"/>
      <c r="C92" s="555"/>
      <c r="D92" s="555"/>
      <c r="E92" s="555"/>
      <c r="F92" s="555"/>
      <c r="G92" s="555"/>
      <c r="H92" s="555"/>
      <c r="I92" s="555"/>
      <c r="J92" s="555"/>
      <c r="K92" s="555"/>
      <c r="L92" s="555"/>
      <c r="M92" s="555"/>
      <c r="N92" s="555"/>
      <c r="O92" s="555"/>
      <c r="P92" s="555"/>
      <c r="Q92" s="555"/>
      <c r="R92" s="555"/>
      <c r="S92" s="555"/>
      <c r="T92" s="555"/>
      <c r="U92" s="555"/>
      <c r="V92" s="555"/>
      <c r="W92" s="555"/>
      <c r="X92" s="555"/>
      <c r="Y92" s="555"/>
      <c r="Z92" s="555"/>
      <c r="AA92" s="555"/>
      <c r="AB92" s="555"/>
      <c r="AC92" s="555"/>
      <c r="AD92" s="555"/>
      <c r="AE92" s="555"/>
      <c r="AF92" s="555"/>
      <c r="AG92" s="555"/>
      <c r="AH92" s="555"/>
      <c r="AI92" s="555"/>
      <c r="AJ92" s="555"/>
      <c r="AK92" s="555"/>
      <c r="AL92" s="555"/>
      <c r="AM92" s="555"/>
      <c r="AN92" s="555"/>
      <c r="AO92" s="555"/>
    </row>
    <row r="93" spans="2:41" s="556" customFormat="1" x14ac:dyDescent="0.15">
      <c r="B93" s="555"/>
      <c r="C93" s="555"/>
      <c r="D93" s="555"/>
      <c r="E93" s="555"/>
      <c r="F93" s="555"/>
      <c r="G93" s="555"/>
      <c r="H93" s="555"/>
      <c r="I93" s="555"/>
      <c r="J93" s="555"/>
      <c r="K93" s="555"/>
      <c r="L93" s="555"/>
      <c r="M93" s="555"/>
      <c r="N93" s="555"/>
      <c r="O93" s="555"/>
      <c r="P93" s="555"/>
      <c r="Q93" s="555"/>
      <c r="R93" s="555"/>
      <c r="S93" s="555"/>
      <c r="T93" s="555"/>
      <c r="U93" s="555"/>
      <c r="V93" s="555"/>
      <c r="W93" s="555"/>
      <c r="X93" s="555"/>
      <c r="Y93" s="555"/>
      <c r="Z93" s="555"/>
      <c r="AA93" s="555"/>
      <c r="AB93" s="555"/>
      <c r="AC93" s="555"/>
      <c r="AD93" s="555"/>
      <c r="AE93" s="555"/>
      <c r="AF93" s="555"/>
      <c r="AG93" s="555"/>
      <c r="AH93" s="555"/>
      <c r="AI93" s="555"/>
      <c r="AJ93" s="555"/>
      <c r="AK93" s="555"/>
      <c r="AL93" s="555"/>
      <c r="AM93" s="555"/>
      <c r="AN93" s="555"/>
      <c r="AO93" s="555"/>
    </row>
    <row r="94" spans="2:41" s="556" customFormat="1" x14ac:dyDescent="0.15">
      <c r="B94" s="555"/>
      <c r="C94" s="555"/>
      <c r="D94" s="555"/>
      <c r="E94" s="555"/>
      <c r="F94" s="555"/>
      <c r="G94" s="555"/>
      <c r="H94" s="555"/>
      <c r="I94" s="555"/>
      <c r="J94" s="555"/>
      <c r="K94" s="555"/>
      <c r="L94" s="555"/>
      <c r="M94" s="555"/>
      <c r="N94" s="555"/>
      <c r="O94" s="555"/>
      <c r="P94" s="555"/>
      <c r="Q94" s="555"/>
      <c r="R94" s="555"/>
      <c r="S94" s="555"/>
      <c r="T94" s="555"/>
      <c r="U94" s="555"/>
      <c r="V94" s="555"/>
      <c r="W94" s="555"/>
      <c r="X94" s="555"/>
      <c r="Y94" s="555"/>
      <c r="Z94" s="555"/>
      <c r="AA94" s="555"/>
      <c r="AB94" s="555"/>
      <c r="AC94" s="555"/>
      <c r="AD94" s="555"/>
      <c r="AE94" s="555"/>
      <c r="AF94" s="555"/>
      <c r="AG94" s="555"/>
      <c r="AH94" s="555"/>
      <c r="AI94" s="555"/>
      <c r="AJ94" s="555"/>
      <c r="AK94" s="555"/>
      <c r="AL94" s="555"/>
      <c r="AM94" s="555"/>
      <c r="AN94" s="555"/>
      <c r="AO94" s="555"/>
    </row>
    <row r="95" spans="2:41" s="556" customFormat="1" x14ac:dyDescent="0.15">
      <c r="B95" s="555"/>
      <c r="C95" s="555"/>
      <c r="D95" s="555"/>
      <c r="E95" s="555"/>
      <c r="F95" s="555"/>
      <c r="G95" s="555"/>
      <c r="H95" s="555"/>
      <c r="I95" s="555"/>
      <c r="J95" s="555"/>
      <c r="K95" s="555"/>
      <c r="L95" s="555"/>
      <c r="M95" s="555"/>
      <c r="N95" s="555"/>
      <c r="O95" s="555"/>
      <c r="P95" s="555"/>
      <c r="Q95" s="555"/>
      <c r="R95" s="555"/>
      <c r="S95" s="555"/>
      <c r="T95" s="555"/>
      <c r="U95" s="555"/>
      <c r="V95" s="555"/>
      <c r="W95" s="555"/>
      <c r="X95" s="555"/>
      <c r="Y95" s="555"/>
      <c r="Z95" s="555"/>
      <c r="AA95" s="555"/>
      <c r="AB95" s="555"/>
      <c r="AC95" s="555"/>
      <c r="AD95" s="555"/>
      <c r="AE95" s="555"/>
      <c r="AF95" s="555"/>
      <c r="AG95" s="555"/>
      <c r="AH95" s="555"/>
      <c r="AI95" s="555"/>
      <c r="AJ95" s="555"/>
      <c r="AK95" s="555"/>
      <c r="AL95" s="555"/>
      <c r="AM95" s="555"/>
      <c r="AN95" s="555"/>
      <c r="AO95" s="555"/>
    </row>
    <row r="96" spans="2:41" s="556" customFormat="1" x14ac:dyDescent="0.15">
      <c r="B96" s="555"/>
      <c r="C96" s="555"/>
      <c r="D96" s="555"/>
      <c r="E96" s="555"/>
      <c r="F96" s="555"/>
      <c r="G96" s="555"/>
      <c r="H96" s="555"/>
      <c r="I96" s="555"/>
      <c r="J96" s="555"/>
      <c r="K96" s="555"/>
      <c r="L96" s="555"/>
      <c r="M96" s="555"/>
      <c r="N96" s="555"/>
      <c r="O96" s="555"/>
      <c r="P96" s="555"/>
      <c r="Q96" s="555"/>
      <c r="R96" s="555"/>
      <c r="S96" s="555"/>
      <c r="T96" s="555"/>
      <c r="U96" s="555"/>
      <c r="V96" s="555"/>
      <c r="W96" s="555"/>
      <c r="X96" s="555"/>
      <c r="Y96" s="555"/>
      <c r="Z96" s="555"/>
      <c r="AA96" s="555"/>
      <c r="AB96" s="555"/>
      <c r="AC96" s="555"/>
      <c r="AD96" s="555"/>
      <c r="AE96" s="555"/>
      <c r="AF96" s="555"/>
      <c r="AG96" s="555"/>
      <c r="AH96" s="555"/>
      <c r="AI96" s="555"/>
      <c r="AJ96" s="555"/>
      <c r="AK96" s="555"/>
      <c r="AL96" s="555"/>
      <c r="AM96" s="555"/>
      <c r="AN96" s="555"/>
      <c r="AO96" s="555"/>
    </row>
    <row r="97" spans="2:41" s="556" customFormat="1" x14ac:dyDescent="0.15">
      <c r="B97" s="555"/>
      <c r="C97" s="555"/>
      <c r="D97" s="555"/>
      <c r="E97" s="555"/>
      <c r="F97" s="555"/>
      <c r="G97" s="555"/>
      <c r="H97" s="555"/>
      <c r="I97" s="555"/>
      <c r="J97" s="555"/>
      <c r="K97" s="555"/>
      <c r="L97" s="555"/>
      <c r="M97" s="555"/>
      <c r="N97" s="555"/>
      <c r="O97" s="555"/>
      <c r="P97" s="555"/>
      <c r="Q97" s="555"/>
      <c r="R97" s="555"/>
      <c r="S97" s="555"/>
      <c r="T97" s="555"/>
      <c r="U97" s="555"/>
      <c r="V97" s="555"/>
      <c r="W97" s="555"/>
      <c r="X97" s="555"/>
      <c r="Y97" s="555"/>
      <c r="Z97" s="555"/>
      <c r="AA97" s="555"/>
      <c r="AB97" s="555"/>
      <c r="AC97" s="555"/>
      <c r="AD97" s="555"/>
      <c r="AE97" s="555"/>
      <c r="AF97" s="555"/>
      <c r="AG97" s="555"/>
      <c r="AH97" s="555"/>
      <c r="AI97" s="555"/>
      <c r="AJ97" s="555"/>
      <c r="AK97" s="555"/>
      <c r="AL97" s="555"/>
      <c r="AM97" s="555"/>
      <c r="AN97" s="555"/>
      <c r="AO97" s="555"/>
    </row>
    <row r="98" spans="2:41" s="556" customFormat="1" x14ac:dyDescent="0.15">
      <c r="B98" s="555"/>
      <c r="C98" s="555"/>
      <c r="D98" s="555"/>
      <c r="E98" s="555"/>
      <c r="F98" s="555"/>
      <c r="G98" s="555"/>
      <c r="H98" s="555"/>
      <c r="I98" s="555"/>
      <c r="J98" s="555"/>
      <c r="K98" s="555"/>
      <c r="L98" s="555"/>
      <c r="M98" s="555"/>
      <c r="N98" s="555"/>
      <c r="O98" s="555"/>
      <c r="P98" s="555"/>
      <c r="Q98" s="555"/>
      <c r="R98" s="555"/>
      <c r="S98" s="555"/>
      <c r="T98" s="555"/>
      <c r="U98" s="555"/>
      <c r="V98" s="555"/>
      <c r="W98" s="555"/>
      <c r="X98" s="555"/>
      <c r="Y98" s="555"/>
      <c r="Z98" s="555"/>
      <c r="AA98" s="555"/>
      <c r="AB98" s="555"/>
      <c r="AC98" s="555"/>
      <c r="AD98" s="555"/>
      <c r="AE98" s="555"/>
      <c r="AF98" s="555"/>
      <c r="AG98" s="555"/>
      <c r="AH98" s="555"/>
      <c r="AI98" s="555"/>
      <c r="AJ98" s="555"/>
      <c r="AK98" s="555"/>
      <c r="AL98" s="555"/>
      <c r="AM98" s="555"/>
      <c r="AN98" s="555"/>
      <c r="AO98" s="555"/>
    </row>
    <row r="100" spans="2:41" ht="21.75" customHeight="1" x14ac:dyDescent="0.15"/>
    <row r="101" spans="2:41" s="556" customFormat="1" x14ac:dyDescent="0.15">
      <c r="B101" s="555"/>
      <c r="C101" s="555"/>
      <c r="D101" s="555"/>
      <c r="E101" s="555"/>
      <c r="F101" s="555"/>
      <c r="G101" s="555"/>
      <c r="H101" s="555"/>
      <c r="I101" s="555"/>
      <c r="J101" s="555"/>
      <c r="K101" s="555"/>
      <c r="L101" s="555"/>
      <c r="M101" s="555"/>
      <c r="N101" s="555"/>
      <c r="O101" s="555"/>
      <c r="P101" s="555"/>
      <c r="Q101" s="555"/>
      <c r="R101" s="555"/>
      <c r="S101" s="555"/>
      <c r="T101" s="555"/>
      <c r="U101" s="555"/>
      <c r="V101" s="555"/>
      <c r="W101" s="555"/>
      <c r="X101" s="555"/>
      <c r="Y101" s="555"/>
      <c r="Z101" s="555"/>
      <c r="AA101" s="555"/>
      <c r="AB101" s="555"/>
      <c r="AC101" s="555"/>
      <c r="AD101" s="555"/>
      <c r="AE101" s="555"/>
      <c r="AF101" s="555"/>
      <c r="AG101" s="555"/>
      <c r="AH101" s="555"/>
      <c r="AI101" s="555"/>
      <c r="AJ101" s="555"/>
      <c r="AK101" s="555"/>
      <c r="AL101" s="555"/>
      <c r="AM101" s="555"/>
      <c r="AN101" s="555"/>
      <c r="AO101" s="555"/>
    </row>
    <row r="102" spans="2:41" s="556" customFormat="1" x14ac:dyDescent="0.15">
      <c r="B102" s="555"/>
      <c r="C102" s="555"/>
      <c r="D102" s="555"/>
      <c r="E102" s="555"/>
      <c r="F102" s="555"/>
      <c r="G102" s="555"/>
      <c r="H102" s="555"/>
      <c r="I102" s="555"/>
      <c r="J102" s="555"/>
      <c r="K102" s="555"/>
      <c r="L102" s="555"/>
      <c r="M102" s="555"/>
      <c r="N102" s="555"/>
      <c r="O102" s="555"/>
      <c r="P102" s="555"/>
      <c r="Q102" s="555"/>
      <c r="R102" s="555"/>
      <c r="S102" s="555"/>
      <c r="T102" s="555"/>
      <c r="U102" s="555"/>
      <c r="V102" s="555"/>
      <c r="W102" s="555"/>
      <c r="X102" s="555"/>
      <c r="Y102" s="555"/>
      <c r="Z102" s="555"/>
      <c r="AA102" s="555"/>
      <c r="AB102" s="555"/>
      <c r="AC102" s="555"/>
      <c r="AD102" s="555"/>
      <c r="AE102" s="555"/>
      <c r="AF102" s="555"/>
      <c r="AG102" s="555"/>
      <c r="AH102" s="555"/>
      <c r="AI102" s="555"/>
      <c r="AJ102" s="555"/>
      <c r="AK102" s="555"/>
      <c r="AL102" s="555"/>
      <c r="AM102" s="555"/>
      <c r="AN102" s="555"/>
      <c r="AO102" s="555"/>
    </row>
    <row r="103" spans="2:41" s="556" customFormat="1" x14ac:dyDescent="0.15">
      <c r="B103" s="555"/>
      <c r="C103" s="555"/>
      <c r="D103" s="555"/>
      <c r="E103" s="555"/>
      <c r="F103" s="555"/>
      <c r="G103" s="555"/>
      <c r="H103" s="555"/>
      <c r="I103" s="555"/>
      <c r="J103" s="555"/>
      <c r="K103" s="555"/>
      <c r="L103" s="555"/>
      <c r="M103" s="555"/>
      <c r="N103" s="555"/>
      <c r="O103" s="555"/>
      <c r="P103" s="555"/>
      <c r="Q103" s="555"/>
      <c r="R103" s="555"/>
      <c r="S103" s="555"/>
      <c r="T103" s="555"/>
      <c r="U103" s="555"/>
      <c r="V103" s="555"/>
      <c r="W103" s="555"/>
      <c r="X103" s="555"/>
      <c r="Y103" s="555"/>
      <c r="Z103" s="555"/>
      <c r="AA103" s="555"/>
      <c r="AB103" s="555"/>
      <c r="AC103" s="555"/>
      <c r="AD103" s="555"/>
      <c r="AE103" s="555"/>
      <c r="AF103" s="555"/>
      <c r="AG103" s="555"/>
      <c r="AH103" s="555"/>
      <c r="AI103" s="555"/>
      <c r="AJ103" s="555"/>
      <c r="AK103" s="555"/>
      <c r="AL103" s="555"/>
      <c r="AM103" s="555"/>
      <c r="AN103" s="555"/>
      <c r="AO103" s="555"/>
    </row>
    <row r="104" spans="2:41" s="556" customFormat="1" x14ac:dyDescent="0.15">
      <c r="B104" s="555"/>
      <c r="C104" s="555"/>
      <c r="D104" s="555"/>
      <c r="E104" s="555"/>
      <c r="F104" s="555"/>
      <c r="G104" s="555"/>
      <c r="H104" s="555"/>
      <c r="I104" s="555"/>
      <c r="J104" s="555"/>
      <c r="K104" s="555"/>
      <c r="L104" s="555"/>
      <c r="M104" s="555"/>
      <c r="N104" s="555"/>
      <c r="O104" s="555"/>
      <c r="P104" s="555"/>
      <c r="Q104" s="555"/>
      <c r="R104" s="555"/>
      <c r="S104" s="555"/>
      <c r="T104" s="555"/>
      <c r="U104" s="555"/>
      <c r="V104" s="555"/>
      <c r="W104" s="555"/>
      <c r="X104" s="555"/>
      <c r="Y104" s="555"/>
      <c r="Z104" s="555"/>
      <c r="AA104" s="555"/>
      <c r="AB104" s="555"/>
      <c r="AC104" s="555"/>
      <c r="AD104" s="555"/>
      <c r="AE104" s="555"/>
      <c r="AF104" s="555"/>
      <c r="AG104" s="555"/>
      <c r="AH104" s="555"/>
      <c r="AI104" s="555"/>
      <c r="AJ104" s="555"/>
      <c r="AK104" s="555"/>
      <c r="AL104" s="555"/>
      <c r="AM104" s="555"/>
      <c r="AN104" s="555"/>
      <c r="AO104" s="555"/>
    </row>
    <row r="105" spans="2:41" s="556" customFormat="1" x14ac:dyDescent="0.15">
      <c r="B105" s="555"/>
      <c r="C105" s="555"/>
      <c r="D105" s="555"/>
      <c r="E105" s="555"/>
      <c r="F105" s="555"/>
      <c r="G105" s="555"/>
      <c r="H105" s="555"/>
      <c r="I105" s="555"/>
      <c r="J105" s="555"/>
      <c r="K105" s="555"/>
      <c r="L105" s="555"/>
      <c r="M105" s="555"/>
      <c r="N105" s="555"/>
      <c r="O105" s="555"/>
      <c r="P105" s="555"/>
      <c r="Q105" s="555"/>
      <c r="R105" s="555"/>
      <c r="S105" s="555"/>
      <c r="T105" s="555"/>
      <c r="U105" s="555"/>
      <c r="V105" s="555"/>
      <c r="W105" s="555"/>
      <c r="X105" s="555"/>
      <c r="Y105" s="555"/>
      <c r="Z105" s="555"/>
      <c r="AA105" s="555"/>
      <c r="AB105" s="555"/>
      <c r="AC105" s="555"/>
      <c r="AD105" s="555"/>
      <c r="AE105" s="555"/>
      <c r="AF105" s="555"/>
      <c r="AG105" s="555"/>
      <c r="AH105" s="555"/>
      <c r="AI105" s="555"/>
      <c r="AJ105" s="555"/>
      <c r="AK105" s="555"/>
      <c r="AL105" s="555"/>
      <c r="AM105" s="555"/>
      <c r="AN105" s="555"/>
      <c r="AO105" s="555"/>
    </row>
    <row r="107" spans="2:41" ht="22.5" customHeight="1" x14ac:dyDescent="0.15"/>
    <row r="108" spans="2:41" s="556" customFormat="1" x14ac:dyDescent="0.15">
      <c r="B108" s="555"/>
      <c r="C108" s="555"/>
      <c r="D108" s="555"/>
      <c r="E108" s="555"/>
      <c r="F108" s="555"/>
      <c r="G108" s="555"/>
      <c r="H108" s="555"/>
      <c r="I108" s="555"/>
      <c r="J108" s="555"/>
      <c r="K108" s="555"/>
      <c r="L108" s="555"/>
      <c r="M108" s="555"/>
      <c r="N108" s="555"/>
      <c r="O108" s="555"/>
      <c r="P108" s="555"/>
      <c r="Q108" s="555"/>
      <c r="R108" s="555"/>
      <c r="S108" s="555"/>
      <c r="T108" s="555"/>
      <c r="U108" s="555"/>
      <c r="V108" s="555"/>
      <c r="W108" s="555"/>
      <c r="X108" s="555"/>
      <c r="Y108" s="555"/>
      <c r="Z108" s="555"/>
      <c r="AA108" s="555"/>
      <c r="AB108" s="555"/>
      <c r="AC108" s="555"/>
      <c r="AD108" s="555"/>
      <c r="AE108" s="555"/>
      <c r="AF108" s="555"/>
      <c r="AG108" s="555"/>
      <c r="AH108" s="555"/>
      <c r="AI108" s="555"/>
      <c r="AJ108" s="555"/>
      <c r="AK108" s="555"/>
      <c r="AL108" s="555"/>
      <c r="AM108" s="555"/>
      <c r="AN108" s="555"/>
      <c r="AO108" s="555"/>
    </row>
    <row r="109" spans="2:41" s="556" customFormat="1" x14ac:dyDescent="0.15">
      <c r="B109" s="555"/>
      <c r="C109" s="555"/>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555"/>
      <c r="AD109" s="555"/>
      <c r="AE109" s="555"/>
      <c r="AF109" s="555"/>
      <c r="AG109" s="555"/>
      <c r="AH109" s="555"/>
      <c r="AI109" s="555"/>
      <c r="AJ109" s="555"/>
      <c r="AK109" s="555"/>
      <c r="AL109" s="555"/>
      <c r="AM109" s="555"/>
      <c r="AN109" s="555"/>
      <c r="AO109" s="555"/>
    </row>
    <row r="110" spans="2:41" s="556" customFormat="1" x14ac:dyDescent="0.15">
      <c r="B110" s="555"/>
      <c r="C110" s="555"/>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5"/>
      <c r="AD110" s="555"/>
      <c r="AE110" s="555"/>
      <c r="AF110" s="555"/>
      <c r="AG110" s="555"/>
      <c r="AH110" s="555"/>
      <c r="AI110" s="555"/>
      <c r="AJ110" s="555"/>
      <c r="AK110" s="555"/>
      <c r="AL110" s="555"/>
      <c r="AM110" s="555"/>
      <c r="AN110" s="555"/>
      <c r="AO110" s="555"/>
    </row>
    <row r="111" spans="2:41" s="556" customFormat="1" x14ac:dyDescent="0.15">
      <c r="B111" s="555"/>
      <c r="C111" s="555"/>
      <c r="D111" s="555"/>
      <c r="E111" s="555"/>
      <c r="F111" s="555"/>
      <c r="G111" s="555"/>
      <c r="H111" s="555"/>
      <c r="I111" s="555"/>
      <c r="J111" s="555"/>
      <c r="K111" s="555"/>
      <c r="L111" s="555"/>
      <c r="M111" s="555"/>
      <c r="N111" s="555"/>
      <c r="O111" s="555"/>
      <c r="P111" s="555"/>
      <c r="Q111" s="555"/>
      <c r="R111" s="555"/>
      <c r="S111" s="555"/>
      <c r="T111" s="555"/>
      <c r="U111" s="555"/>
      <c r="V111" s="555"/>
      <c r="W111" s="555"/>
      <c r="X111" s="555"/>
      <c r="Y111" s="555"/>
      <c r="Z111" s="555"/>
      <c r="AA111" s="555"/>
      <c r="AB111" s="555"/>
      <c r="AC111" s="555"/>
      <c r="AD111" s="555"/>
      <c r="AE111" s="555"/>
      <c r="AF111" s="555"/>
      <c r="AG111" s="555"/>
      <c r="AH111" s="555"/>
      <c r="AI111" s="555"/>
      <c r="AJ111" s="555"/>
      <c r="AK111" s="555"/>
      <c r="AL111" s="555"/>
      <c r="AM111" s="555"/>
      <c r="AN111" s="555"/>
      <c r="AO111" s="555"/>
    </row>
    <row r="112" spans="2:41" s="556" customFormat="1" x14ac:dyDescent="0.15">
      <c r="B112" s="555"/>
      <c r="C112" s="555"/>
      <c r="D112" s="555"/>
      <c r="E112" s="555"/>
      <c r="F112" s="555"/>
      <c r="G112" s="555"/>
      <c r="H112" s="555"/>
      <c r="I112" s="555"/>
      <c r="J112" s="555"/>
      <c r="K112" s="555"/>
      <c r="L112" s="555"/>
      <c r="M112" s="555"/>
      <c r="N112" s="555"/>
      <c r="O112" s="555"/>
      <c r="P112" s="555"/>
      <c r="Q112" s="555"/>
      <c r="R112" s="555"/>
      <c r="S112" s="555"/>
      <c r="T112" s="555"/>
      <c r="U112" s="555"/>
      <c r="V112" s="555"/>
      <c r="W112" s="555"/>
      <c r="X112" s="555"/>
      <c r="Y112" s="555"/>
      <c r="Z112" s="555"/>
      <c r="AA112" s="555"/>
      <c r="AB112" s="555"/>
      <c r="AC112" s="555"/>
      <c r="AD112" s="555"/>
      <c r="AE112" s="555"/>
      <c r="AF112" s="555"/>
      <c r="AG112" s="555"/>
      <c r="AH112" s="555"/>
      <c r="AI112" s="555"/>
      <c r="AJ112" s="555"/>
      <c r="AK112" s="555"/>
      <c r="AL112" s="555"/>
      <c r="AM112" s="555"/>
      <c r="AN112" s="555"/>
      <c r="AO112" s="555"/>
    </row>
    <row r="113" spans="2:41" s="556" customFormat="1" x14ac:dyDescent="0.15">
      <c r="B113" s="555"/>
      <c r="C113" s="555"/>
      <c r="D113" s="555"/>
      <c r="E113" s="555"/>
      <c r="F113" s="555"/>
      <c r="G113" s="555"/>
      <c r="H113" s="555"/>
      <c r="I113" s="555"/>
      <c r="J113" s="555"/>
      <c r="K113" s="555"/>
      <c r="L113" s="555"/>
      <c r="M113" s="555"/>
      <c r="N113" s="555"/>
      <c r="O113" s="555"/>
      <c r="P113" s="555"/>
      <c r="Q113" s="555"/>
      <c r="R113" s="555"/>
      <c r="S113" s="555"/>
      <c r="T113" s="555"/>
      <c r="U113" s="555"/>
      <c r="V113" s="555"/>
      <c r="W113" s="555"/>
      <c r="X113" s="555"/>
      <c r="Y113" s="555"/>
      <c r="Z113" s="555"/>
      <c r="AA113" s="555"/>
      <c r="AB113" s="555"/>
      <c r="AC113" s="555"/>
      <c r="AD113" s="555"/>
      <c r="AE113" s="555"/>
      <c r="AF113" s="555"/>
      <c r="AG113" s="555"/>
      <c r="AH113" s="555"/>
      <c r="AI113" s="555"/>
      <c r="AJ113" s="555"/>
      <c r="AK113" s="555"/>
      <c r="AL113" s="555"/>
      <c r="AM113" s="555"/>
      <c r="AN113" s="555"/>
      <c r="AO113" s="555"/>
    </row>
    <row r="114" spans="2:41" s="556" customFormat="1" x14ac:dyDescent="0.15">
      <c r="B114" s="555"/>
      <c r="C114" s="555"/>
      <c r="D114" s="555"/>
      <c r="E114" s="555"/>
      <c r="F114" s="555"/>
      <c r="G114" s="555"/>
      <c r="H114" s="555"/>
      <c r="I114" s="555"/>
      <c r="J114" s="555"/>
      <c r="K114" s="555"/>
      <c r="L114" s="555"/>
      <c r="M114" s="555"/>
      <c r="N114" s="555"/>
      <c r="O114" s="555"/>
      <c r="P114" s="555"/>
      <c r="Q114" s="555"/>
      <c r="R114" s="555"/>
      <c r="S114" s="555"/>
      <c r="T114" s="555"/>
      <c r="U114" s="555"/>
      <c r="V114" s="555"/>
      <c r="W114" s="555"/>
      <c r="X114" s="555"/>
      <c r="Y114" s="555"/>
      <c r="Z114" s="555"/>
      <c r="AA114" s="555"/>
      <c r="AB114" s="555"/>
      <c r="AC114" s="555"/>
      <c r="AD114" s="555"/>
      <c r="AE114" s="555"/>
      <c r="AF114" s="555"/>
      <c r="AG114" s="555"/>
      <c r="AH114" s="555"/>
      <c r="AI114" s="555"/>
      <c r="AJ114" s="555"/>
      <c r="AK114" s="555"/>
      <c r="AL114" s="555"/>
      <c r="AM114" s="555"/>
      <c r="AN114" s="555"/>
      <c r="AO114" s="555"/>
    </row>
    <row r="115" spans="2:41" s="556" customFormat="1" x14ac:dyDescent="0.15">
      <c r="B115" s="555"/>
      <c r="C115" s="555"/>
      <c r="D115" s="555"/>
      <c r="E115" s="555"/>
      <c r="F115" s="555"/>
      <c r="G115" s="555"/>
      <c r="H115" s="555"/>
      <c r="I115" s="555"/>
      <c r="J115" s="555"/>
      <c r="K115" s="555"/>
      <c r="L115" s="555"/>
      <c r="M115" s="555"/>
      <c r="N115" s="555"/>
      <c r="O115" s="555"/>
      <c r="P115" s="555"/>
      <c r="Q115" s="555"/>
      <c r="R115" s="555"/>
      <c r="S115" s="555"/>
      <c r="T115" s="555"/>
      <c r="U115" s="555"/>
      <c r="V115" s="555"/>
      <c r="W115" s="555"/>
      <c r="X115" s="555"/>
      <c r="Y115" s="555"/>
      <c r="Z115" s="555"/>
      <c r="AA115" s="555"/>
      <c r="AB115" s="555"/>
      <c r="AC115" s="555"/>
      <c r="AD115" s="555"/>
      <c r="AE115" s="555"/>
      <c r="AF115" s="555"/>
      <c r="AG115" s="555"/>
      <c r="AH115" s="555"/>
      <c r="AI115" s="555"/>
      <c r="AJ115" s="555"/>
      <c r="AK115" s="555"/>
      <c r="AL115" s="555"/>
      <c r="AM115" s="555"/>
      <c r="AN115" s="555"/>
      <c r="AO115" s="555"/>
    </row>
    <row r="117" spans="2:41" ht="21.75" customHeight="1" x14ac:dyDescent="0.15"/>
    <row r="118" spans="2:41" s="556" customFormat="1" x14ac:dyDescent="0.15">
      <c r="B118" s="555"/>
      <c r="C118" s="555"/>
      <c r="D118" s="555"/>
      <c r="E118" s="555"/>
      <c r="F118" s="555"/>
      <c r="G118" s="555"/>
      <c r="H118" s="555"/>
      <c r="I118" s="555"/>
      <c r="J118" s="555"/>
      <c r="K118" s="555"/>
      <c r="L118" s="555"/>
      <c r="M118" s="555"/>
      <c r="N118" s="555"/>
      <c r="O118" s="555"/>
      <c r="P118" s="555"/>
      <c r="Q118" s="555"/>
      <c r="R118" s="555"/>
      <c r="S118" s="555"/>
      <c r="T118" s="555"/>
      <c r="U118" s="555"/>
      <c r="V118" s="555"/>
      <c r="W118" s="555"/>
      <c r="X118" s="555"/>
      <c r="Y118" s="555"/>
      <c r="Z118" s="555"/>
      <c r="AA118" s="555"/>
      <c r="AB118" s="555"/>
      <c r="AC118" s="555"/>
      <c r="AD118" s="555"/>
      <c r="AE118" s="555"/>
      <c r="AF118" s="555"/>
      <c r="AG118" s="555"/>
      <c r="AH118" s="555"/>
      <c r="AI118" s="555"/>
      <c r="AJ118" s="555"/>
      <c r="AK118" s="555"/>
      <c r="AL118" s="555"/>
      <c r="AM118" s="555"/>
      <c r="AN118" s="555"/>
      <c r="AO118" s="555"/>
    </row>
    <row r="119" spans="2:41" s="556" customFormat="1" x14ac:dyDescent="0.15">
      <c r="B119" s="555"/>
      <c r="C119" s="555"/>
      <c r="D119" s="555"/>
      <c r="E119" s="555"/>
      <c r="F119" s="555"/>
      <c r="G119" s="555"/>
      <c r="H119" s="555"/>
      <c r="I119" s="555"/>
      <c r="J119" s="555"/>
      <c r="K119" s="555"/>
      <c r="L119" s="555"/>
      <c r="M119" s="555"/>
      <c r="N119" s="555"/>
      <c r="O119" s="555"/>
      <c r="P119" s="555"/>
      <c r="Q119" s="555"/>
      <c r="R119" s="555"/>
      <c r="S119" s="555"/>
      <c r="T119" s="555"/>
      <c r="U119" s="555"/>
      <c r="V119" s="555"/>
      <c r="W119" s="555"/>
      <c r="X119" s="555"/>
      <c r="Y119" s="555"/>
      <c r="Z119" s="555"/>
      <c r="AA119" s="555"/>
      <c r="AB119" s="555"/>
      <c r="AC119" s="555"/>
      <c r="AD119" s="555"/>
      <c r="AE119" s="555"/>
      <c r="AF119" s="555"/>
      <c r="AG119" s="555"/>
      <c r="AH119" s="555"/>
      <c r="AI119" s="555"/>
      <c r="AJ119" s="555"/>
      <c r="AK119" s="555"/>
      <c r="AL119" s="555"/>
      <c r="AM119" s="555"/>
      <c r="AN119" s="555"/>
      <c r="AO119" s="555"/>
    </row>
    <row r="120" spans="2:41" s="556" customFormat="1" x14ac:dyDescent="0.15">
      <c r="B120" s="555"/>
      <c r="C120" s="555"/>
      <c r="D120" s="555"/>
      <c r="E120" s="555"/>
      <c r="F120" s="555"/>
      <c r="G120" s="555"/>
      <c r="H120" s="555"/>
      <c r="I120" s="555"/>
      <c r="J120" s="555"/>
      <c r="K120" s="555"/>
      <c r="L120" s="555"/>
      <c r="M120" s="555"/>
      <c r="N120" s="555"/>
      <c r="O120" s="555"/>
      <c r="P120" s="555"/>
      <c r="Q120" s="555"/>
      <c r="R120" s="555"/>
      <c r="S120" s="555"/>
      <c r="T120" s="555"/>
      <c r="U120" s="555"/>
      <c r="V120" s="555"/>
      <c r="W120" s="555"/>
      <c r="X120" s="555"/>
      <c r="Y120" s="555"/>
      <c r="Z120" s="555"/>
      <c r="AA120" s="555"/>
      <c r="AB120" s="555"/>
      <c r="AC120" s="555"/>
      <c r="AD120" s="555"/>
      <c r="AE120" s="555"/>
      <c r="AF120" s="555"/>
      <c r="AG120" s="555"/>
      <c r="AH120" s="555"/>
      <c r="AI120" s="555"/>
      <c r="AJ120" s="555"/>
      <c r="AK120" s="555"/>
      <c r="AL120" s="555"/>
      <c r="AM120" s="555"/>
      <c r="AN120" s="555"/>
      <c r="AO120" s="555"/>
    </row>
    <row r="121" spans="2:41" s="556" customFormat="1" x14ac:dyDescent="0.15">
      <c r="B121" s="555"/>
      <c r="C121" s="555"/>
      <c r="D121" s="555"/>
      <c r="E121" s="555"/>
      <c r="F121" s="555"/>
      <c r="G121" s="555"/>
      <c r="H121" s="555"/>
      <c r="I121" s="555"/>
      <c r="J121" s="555"/>
      <c r="K121" s="555"/>
      <c r="L121" s="555"/>
      <c r="M121" s="555"/>
      <c r="N121" s="555"/>
      <c r="O121" s="555"/>
      <c r="P121" s="555"/>
      <c r="Q121" s="555"/>
      <c r="R121" s="555"/>
      <c r="S121" s="555"/>
      <c r="T121" s="555"/>
      <c r="U121" s="555"/>
      <c r="V121" s="555"/>
      <c r="W121" s="555"/>
      <c r="X121" s="555"/>
      <c r="Y121" s="555"/>
      <c r="Z121" s="555"/>
      <c r="AA121" s="555"/>
      <c r="AB121" s="555"/>
      <c r="AC121" s="555"/>
      <c r="AD121" s="555"/>
      <c r="AE121" s="555"/>
      <c r="AF121" s="555"/>
      <c r="AG121" s="555"/>
      <c r="AH121" s="555"/>
      <c r="AI121" s="555"/>
      <c r="AJ121" s="555"/>
      <c r="AK121" s="555"/>
      <c r="AL121" s="555"/>
      <c r="AM121" s="555"/>
      <c r="AN121" s="555"/>
      <c r="AO121" s="555"/>
    </row>
    <row r="122" spans="2:41" s="556" customFormat="1" x14ac:dyDescent="0.15">
      <c r="B122" s="555"/>
      <c r="C122" s="555"/>
      <c r="D122" s="555"/>
      <c r="E122" s="555"/>
      <c r="F122" s="555"/>
      <c r="G122" s="555"/>
      <c r="H122" s="555"/>
      <c r="I122" s="555"/>
      <c r="J122" s="555"/>
      <c r="K122" s="555"/>
      <c r="L122" s="555"/>
      <c r="M122" s="555"/>
      <c r="N122" s="555"/>
      <c r="O122" s="555"/>
      <c r="P122" s="555"/>
      <c r="Q122" s="555"/>
      <c r="R122" s="555"/>
      <c r="S122" s="555"/>
      <c r="T122" s="555"/>
      <c r="U122" s="555"/>
      <c r="V122" s="555"/>
      <c r="W122" s="555"/>
      <c r="X122" s="555"/>
      <c r="Y122" s="555"/>
      <c r="Z122" s="555"/>
      <c r="AA122" s="555"/>
      <c r="AB122" s="555"/>
      <c r="AC122" s="555"/>
      <c r="AD122" s="555"/>
      <c r="AE122" s="555"/>
      <c r="AF122" s="555"/>
      <c r="AG122" s="555"/>
      <c r="AH122" s="555"/>
      <c r="AI122" s="555"/>
      <c r="AJ122" s="555"/>
      <c r="AK122" s="555"/>
      <c r="AL122" s="555"/>
      <c r="AM122" s="555"/>
      <c r="AN122" s="555"/>
      <c r="AO122" s="555"/>
    </row>
    <row r="123" spans="2:41" s="556" customFormat="1" x14ac:dyDescent="0.15">
      <c r="B123" s="555"/>
      <c r="C123" s="555"/>
      <c r="D123" s="555"/>
      <c r="E123" s="555"/>
      <c r="F123" s="555"/>
      <c r="G123" s="555"/>
      <c r="H123" s="555"/>
      <c r="I123" s="555"/>
      <c r="J123" s="555"/>
      <c r="K123" s="555"/>
      <c r="L123" s="555"/>
      <c r="M123" s="555"/>
      <c r="N123" s="555"/>
      <c r="O123" s="555"/>
      <c r="P123" s="555"/>
      <c r="Q123" s="555"/>
      <c r="R123" s="555"/>
      <c r="S123" s="555"/>
      <c r="T123" s="555"/>
      <c r="U123" s="555"/>
      <c r="V123" s="555"/>
      <c r="W123" s="555"/>
      <c r="X123" s="555"/>
      <c r="Y123" s="555"/>
      <c r="Z123" s="555"/>
      <c r="AA123" s="555"/>
      <c r="AB123" s="555"/>
      <c r="AC123" s="555"/>
      <c r="AD123" s="555"/>
      <c r="AE123" s="555"/>
      <c r="AF123" s="555"/>
      <c r="AG123" s="555"/>
      <c r="AH123" s="555"/>
      <c r="AI123" s="555"/>
      <c r="AJ123" s="555"/>
      <c r="AK123" s="555"/>
      <c r="AL123" s="555"/>
      <c r="AM123" s="555"/>
      <c r="AN123" s="555"/>
      <c r="AO123" s="555"/>
    </row>
    <row r="125" spans="2:41" ht="21.75" customHeight="1" x14ac:dyDescent="0.15"/>
    <row r="126" spans="2:41" s="556" customFormat="1" x14ac:dyDescent="0.15">
      <c r="B126" s="555"/>
      <c r="C126" s="555"/>
      <c r="D126" s="555"/>
      <c r="E126" s="555"/>
      <c r="F126" s="555"/>
      <c r="G126" s="555"/>
      <c r="H126" s="555"/>
      <c r="I126" s="555"/>
      <c r="J126" s="555"/>
      <c r="K126" s="555"/>
      <c r="L126" s="555"/>
      <c r="M126" s="555"/>
      <c r="N126" s="555"/>
      <c r="O126" s="555"/>
      <c r="P126" s="555"/>
      <c r="Q126" s="555"/>
      <c r="R126" s="555"/>
      <c r="S126" s="555"/>
      <c r="T126" s="555"/>
      <c r="U126" s="555"/>
      <c r="V126" s="555"/>
      <c r="W126" s="555"/>
      <c r="X126" s="555"/>
      <c r="Y126" s="555"/>
      <c r="Z126" s="555"/>
      <c r="AA126" s="555"/>
      <c r="AB126" s="555"/>
      <c r="AC126" s="555"/>
      <c r="AD126" s="555"/>
      <c r="AE126" s="555"/>
      <c r="AF126" s="555"/>
      <c r="AG126" s="555"/>
      <c r="AH126" s="555"/>
      <c r="AI126" s="555"/>
      <c r="AJ126" s="555"/>
      <c r="AK126" s="555"/>
      <c r="AL126" s="555"/>
      <c r="AM126" s="555"/>
      <c r="AN126" s="555"/>
      <c r="AO126" s="555"/>
    </row>
    <row r="127" spans="2:41" s="556" customFormat="1" x14ac:dyDescent="0.15">
      <c r="B127" s="555"/>
      <c r="C127" s="555"/>
      <c r="D127" s="555"/>
      <c r="E127" s="555"/>
      <c r="F127" s="555"/>
      <c r="G127" s="555"/>
      <c r="H127" s="555"/>
      <c r="I127" s="555"/>
      <c r="J127" s="555"/>
      <c r="K127" s="555"/>
      <c r="L127" s="555"/>
      <c r="M127" s="555"/>
      <c r="N127" s="555"/>
      <c r="O127" s="555"/>
      <c r="P127" s="555"/>
      <c r="Q127" s="555"/>
      <c r="R127" s="555"/>
      <c r="S127" s="555"/>
      <c r="T127" s="555"/>
      <c r="U127" s="555"/>
      <c r="V127" s="555"/>
      <c r="W127" s="555"/>
      <c r="X127" s="555"/>
      <c r="Y127" s="555"/>
      <c r="Z127" s="555"/>
      <c r="AA127" s="555"/>
      <c r="AB127" s="555"/>
      <c r="AC127" s="555"/>
      <c r="AD127" s="555"/>
      <c r="AE127" s="555"/>
      <c r="AF127" s="555"/>
      <c r="AG127" s="555"/>
      <c r="AH127" s="555"/>
      <c r="AI127" s="555"/>
      <c r="AJ127" s="555"/>
      <c r="AK127" s="555"/>
      <c r="AL127" s="555"/>
      <c r="AM127" s="555"/>
      <c r="AN127" s="555"/>
      <c r="AO127" s="555"/>
    </row>
    <row r="128" spans="2:41" s="556" customFormat="1" x14ac:dyDescent="0.15">
      <c r="B128" s="555"/>
      <c r="C128" s="555"/>
      <c r="D128" s="555"/>
      <c r="E128" s="555"/>
      <c r="F128" s="555"/>
      <c r="G128" s="555"/>
      <c r="H128" s="555"/>
      <c r="I128" s="555"/>
      <c r="J128" s="555"/>
      <c r="K128" s="555"/>
      <c r="L128" s="555"/>
      <c r="M128" s="555"/>
      <c r="N128" s="555"/>
      <c r="O128" s="555"/>
      <c r="P128" s="555"/>
      <c r="Q128" s="555"/>
      <c r="R128" s="555"/>
      <c r="S128" s="555"/>
      <c r="T128" s="555"/>
      <c r="U128" s="555"/>
      <c r="V128" s="555"/>
      <c r="W128" s="555"/>
      <c r="X128" s="555"/>
      <c r="Y128" s="555"/>
      <c r="Z128" s="555"/>
      <c r="AA128" s="555"/>
      <c r="AB128" s="555"/>
      <c r="AC128" s="555"/>
      <c r="AD128" s="555"/>
      <c r="AE128" s="555"/>
      <c r="AF128" s="555"/>
      <c r="AG128" s="555"/>
      <c r="AH128" s="555"/>
      <c r="AI128" s="555"/>
      <c r="AJ128" s="555"/>
      <c r="AK128" s="555"/>
      <c r="AL128" s="555"/>
      <c r="AM128" s="555"/>
      <c r="AN128" s="555"/>
      <c r="AO128" s="555"/>
    </row>
    <row r="129" spans="2:41" s="556" customFormat="1" x14ac:dyDescent="0.15">
      <c r="B129" s="555"/>
      <c r="C129" s="555"/>
      <c r="D129" s="555"/>
      <c r="E129" s="555"/>
      <c r="F129" s="555"/>
      <c r="G129" s="555"/>
      <c r="H129" s="555"/>
      <c r="I129" s="555"/>
      <c r="J129" s="555"/>
      <c r="K129" s="555"/>
      <c r="L129" s="555"/>
      <c r="M129" s="555"/>
      <c r="N129" s="555"/>
      <c r="O129" s="555"/>
      <c r="P129" s="555"/>
      <c r="Q129" s="555"/>
      <c r="R129" s="555"/>
      <c r="S129" s="555"/>
      <c r="T129" s="555"/>
      <c r="U129" s="555"/>
      <c r="V129" s="555"/>
      <c r="W129" s="555"/>
      <c r="X129" s="555"/>
      <c r="Y129" s="555"/>
      <c r="Z129" s="555"/>
      <c r="AA129" s="555"/>
      <c r="AB129" s="555"/>
      <c r="AC129" s="555"/>
      <c r="AD129" s="555"/>
      <c r="AE129" s="555"/>
      <c r="AF129" s="555"/>
      <c r="AG129" s="555"/>
      <c r="AH129" s="555"/>
      <c r="AI129" s="555"/>
      <c r="AJ129" s="555"/>
      <c r="AK129" s="555"/>
      <c r="AL129" s="555"/>
      <c r="AM129" s="555"/>
      <c r="AN129" s="555"/>
      <c r="AO129" s="555"/>
    </row>
    <row r="130" spans="2:41" s="556" customFormat="1" x14ac:dyDescent="0.15">
      <c r="B130" s="555"/>
      <c r="C130" s="555"/>
      <c r="D130" s="555"/>
      <c r="E130" s="555"/>
      <c r="F130" s="555"/>
      <c r="G130" s="555"/>
      <c r="H130" s="555"/>
      <c r="I130" s="555"/>
      <c r="J130" s="555"/>
      <c r="K130" s="555"/>
      <c r="L130" s="555"/>
      <c r="M130" s="555"/>
      <c r="N130" s="555"/>
      <c r="O130" s="555"/>
      <c r="P130" s="555"/>
      <c r="Q130" s="555"/>
      <c r="R130" s="555"/>
      <c r="S130" s="555"/>
      <c r="T130" s="555"/>
      <c r="U130" s="555"/>
      <c r="V130" s="555"/>
      <c r="W130" s="555"/>
      <c r="X130" s="555"/>
      <c r="Y130" s="555"/>
      <c r="Z130" s="555"/>
      <c r="AA130" s="555"/>
      <c r="AB130" s="555"/>
      <c r="AC130" s="555"/>
      <c r="AD130" s="555"/>
      <c r="AE130" s="555"/>
      <c r="AF130" s="555"/>
      <c r="AG130" s="555"/>
      <c r="AH130" s="555"/>
      <c r="AI130" s="555"/>
      <c r="AJ130" s="555"/>
      <c r="AK130" s="555"/>
      <c r="AL130" s="555"/>
      <c r="AM130" s="555"/>
      <c r="AN130" s="555"/>
      <c r="AO130" s="555"/>
    </row>
    <row r="131" spans="2:41" s="556" customFormat="1" x14ac:dyDescent="0.15">
      <c r="B131" s="555"/>
      <c r="C131" s="555"/>
      <c r="D131" s="555"/>
      <c r="E131" s="555"/>
      <c r="F131" s="555"/>
      <c r="G131" s="555"/>
      <c r="H131" s="555"/>
      <c r="I131" s="555"/>
      <c r="J131" s="555"/>
      <c r="K131" s="555"/>
      <c r="L131" s="555"/>
      <c r="M131" s="555"/>
      <c r="N131" s="555"/>
      <c r="O131" s="555"/>
      <c r="P131" s="555"/>
      <c r="Q131" s="555"/>
      <c r="R131" s="555"/>
      <c r="S131" s="555"/>
      <c r="T131" s="555"/>
      <c r="U131" s="555"/>
      <c r="V131" s="555"/>
      <c r="W131" s="555"/>
      <c r="X131" s="555"/>
      <c r="Y131" s="555"/>
      <c r="Z131" s="555"/>
      <c r="AA131" s="555"/>
      <c r="AB131" s="555"/>
      <c r="AC131" s="555"/>
      <c r="AD131" s="555"/>
      <c r="AE131" s="555"/>
      <c r="AF131" s="555"/>
      <c r="AG131" s="555"/>
      <c r="AH131" s="555"/>
      <c r="AI131" s="555"/>
      <c r="AJ131" s="555"/>
      <c r="AK131" s="555"/>
      <c r="AL131" s="555"/>
      <c r="AM131" s="555"/>
      <c r="AN131" s="555"/>
      <c r="AO131" s="555"/>
    </row>
    <row r="133" spans="2:41" ht="21.75" customHeight="1" x14ac:dyDescent="0.15"/>
    <row r="134" spans="2:41" s="556" customFormat="1" x14ac:dyDescent="0.15">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row>
    <row r="135" spans="2:41" s="556" customFormat="1" x14ac:dyDescent="0.15">
      <c r="B135" s="555"/>
      <c r="C135" s="555"/>
      <c r="D135" s="555"/>
      <c r="E135" s="555"/>
      <c r="F135" s="555"/>
      <c r="G135" s="555"/>
      <c r="H135" s="555"/>
      <c r="I135" s="555"/>
      <c r="J135" s="555"/>
      <c r="K135" s="555"/>
      <c r="L135" s="555"/>
      <c r="M135" s="555"/>
      <c r="N135" s="555"/>
      <c r="O135" s="555"/>
      <c r="P135" s="555"/>
      <c r="Q135" s="555"/>
      <c r="R135" s="555"/>
      <c r="S135" s="555"/>
      <c r="T135" s="555"/>
      <c r="U135" s="555"/>
      <c r="V135" s="555"/>
      <c r="W135" s="555"/>
      <c r="X135" s="555"/>
      <c r="Y135" s="555"/>
      <c r="Z135" s="555"/>
      <c r="AA135" s="555"/>
      <c r="AB135" s="555"/>
      <c r="AC135" s="555"/>
      <c r="AD135" s="555"/>
      <c r="AE135" s="555"/>
      <c r="AF135" s="555"/>
      <c r="AG135" s="555"/>
      <c r="AH135" s="555"/>
      <c r="AI135" s="555"/>
      <c r="AJ135" s="555"/>
      <c r="AK135" s="555"/>
      <c r="AL135" s="555"/>
      <c r="AM135" s="555"/>
      <c r="AN135" s="555"/>
      <c r="AO135" s="555"/>
    </row>
    <row r="136" spans="2:41" s="556" customFormat="1" x14ac:dyDescent="0.15">
      <c r="B136" s="555"/>
      <c r="C136" s="555"/>
      <c r="D136" s="555"/>
      <c r="E136" s="555"/>
      <c r="F136" s="555"/>
      <c r="G136" s="555"/>
      <c r="H136" s="555"/>
      <c r="I136" s="555"/>
      <c r="J136" s="555"/>
      <c r="K136" s="555"/>
      <c r="L136" s="555"/>
      <c r="M136" s="555"/>
      <c r="N136" s="555"/>
      <c r="O136" s="555"/>
      <c r="P136" s="555"/>
      <c r="Q136" s="555"/>
      <c r="R136" s="555"/>
      <c r="S136" s="555"/>
      <c r="T136" s="555"/>
      <c r="U136" s="555"/>
      <c r="V136" s="555"/>
      <c r="W136" s="555"/>
      <c r="X136" s="555"/>
      <c r="Y136" s="555"/>
      <c r="Z136" s="555"/>
      <c r="AA136" s="555"/>
      <c r="AB136" s="555"/>
      <c r="AC136" s="555"/>
      <c r="AD136" s="555"/>
      <c r="AE136" s="555"/>
      <c r="AF136" s="555"/>
      <c r="AG136" s="555"/>
      <c r="AH136" s="555"/>
      <c r="AI136" s="555"/>
      <c r="AJ136" s="555"/>
      <c r="AK136" s="555"/>
      <c r="AL136" s="555"/>
      <c r="AM136" s="555"/>
      <c r="AN136" s="555"/>
      <c r="AO136" s="555"/>
    </row>
    <row r="137" spans="2:41" s="556" customFormat="1" x14ac:dyDescent="0.15">
      <c r="B137" s="555"/>
      <c r="C137" s="555"/>
      <c r="D137" s="555"/>
      <c r="E137" s="555"/>
      <c r="F137" s="555"/>
      <c r="G137" s="555"/>
      <c r="H137" s="555"/>
      <c r="I137" s="555"/>
      <c r="J137" s="555"/>
      <c r="K137" s="555"/>
      <c r="L137" s="555"/>
      <c r="M137" s="555"/>
      <c r="N137" s="555"/>
      <c r="O137" s="555"/>
      <c r="P137" s="555"/>
      <c r="Q137" s="555"/>
      <c r="R137" s="555"/>
      <c r="S137" s="555"/>
      <c r="T137" s="555"/>
      <c r="U137" s="555"/>
      <c r="V137" s="555"/>
      <c r="W137" s="555"/>
      <c r="X137" s="555"/>
      <c r="Y137" s="555"/>
      <c r="Z137" s="555"/>
      <c r="AA137" s="555"/>
      <c r="AB137" s="555"/>
      <c r="AC137" s="555"/>
      <c r="AD137" s="555"/>
      <c r="AE137" s="555"/>
      <c r="AF137" s="555"/>
      <c r="AG137" s="555"/>
      <c r="AH137" s="555"/>
      <c r="AI137" s="555"/>
      <c r="AJ137" s="555"/>
      <c r="AK137" s="555"/>
      <c r="AL137" s="555"/>
      <c r="AM137" s="555"/>
      <c r="AN137" s="555"/>
      <c r="AO137" s="555"/>
    </row>
    <row r="138" spans="2:41" s="556" customFormat="1" x14ac:dyDescent="0.15">
      <c r="B138" s="555"/>
      <c r="C138" s="555"/>
      <c r="D138" s="555"/>
      <c r="E138" s="555"/>
      <c r="F138" s="555"/>
      <c r="G138" s="555"/>
      <c r="H138" s="555"/>
      <c r="I138" s="555"/>
      <c r="J138" s="555"/>
      <c r="K138" s="555"/>
      <c r="L138" s="555"/>
      <c r="M138" s="555"/>
      <c r="N138" s="555"/>
      <c r="O138" s="555"/>
      <c r="P138" s="555"/>
      <c r="Q138" s="555"/>
      <c r="R138" s="555"/>
      <c r="S138" s="555"/>
      <c r="T138" s="555"/>
      <c r="U138" s="555"/>
      <c r="V138" s="555"/>
      <c r="W138" s="555"/>
      <c r="X138" s="555"/>
      <c r="Y138" s="555"/>
      <c r="Z138" s="555"/>
      <c r="AA138" s="555"/>
      <c r="AB138" s="555"/>
      <c r="AC138" s="555"/>
      <c r="AD138" s="555"/>
      <c r="AE138" s="555"/>
      <c r="AF138" s="555"/>
      <c r="AG138" s="555"/>
      <c r="AH138" s="555"/>
      <c r="AI138" s="555"/>
      <c r="AJ138" s="555"/>
      <c r="AK138" s="555"/>
      <c r="AL138" s="555"/>
      <c r="AM138" s="555"/>
      <c r="AN138" s="555"/>
      <c r="AO138" s="555"/>
    </row>
    <row r="139" spans="2:41" s="556" customFormat="1" x14ac:dyDescent="0.15">
      <c r="B139" s="555"/>
      <c r="C139" s="555"/>
      <c r="D139" s="555"/>
      <c r="E139" s="555"/>
      <c r="F139" s="555"/>
      <c r="G139" s="555"/>
      <c r="H139" s="555"/>
      <c r="I139" s="555"/>
      <c r="J139" s="555"/>
      <c r="K139" s="555"/>
      <c r="L139" s="555"/>
      <c r="M139" s="555"/>
      <c r="N139" s="555"/>
      <c r="O139" s="555"/>
      <c r="P139" s="555"/>
      <c r="Q139" s="555"/>
      <c r="R139" s="555"/>
      <c r="S139" s="555"/>
      <c r="T139" s="555"/>
      <c r="U139" s="555"/>
      <c r="V139" s="555"/>
      <c r="W139" s="555"/>
      <c r="X139" s="555"/>
      <c r="Y139" s="555"/>
      <c r="Z139" s="555"/>
      <c r="AA139" s="555"/>
      <c r="AB139" s="555"/>
      <c r="AC139" s="555"/>
      <c r="AD139" s="555"/>
      <c r="AE139" s="555"/>
      <c r="AF139" s="555"/>
      <c r="AG139" s="555"/>
      <c r="AH139" s="555"/>
      <c r="AI139" s="555"/>
      <c r="AJ139" s="555"/>
      <c r="AK139" s="555"/>
      <c r="AL139" s="555"/>
      <c r="AM139" s="555"/>
      <c r="AN139" s="555"/>
      <c r="AO139" s="555"/>
    </row>
    <row r="141" spans="2:41" ht="29.25" customHeight="1" x14ac:dyDescent="0.15"/>
    <row r="142" spans="2:41" ht="30" customHeight="1" x14ac:dyDescent="0.15"/>
  </sheetData>
  <sheetProtection algorithmName="SHA-512" hashValue="6v0JYIGbLEttjxq1BdTrl207DQxrRxLEND6h/FZgltuUgH0s6JX0t91sebCY58hRQdZjrEYT4Qjib6udl3stMA==" saltValue="pOSnpXLhdrI2AZvPpKpTDQ==" spinCount="100000" sheet="1" selectLockedCells="1"/>
  <mergeCells count="1">
    <mergeCell ref="B1:AN1"/>
  </mergeCells>
  <phoneticPr fontId="103" type="noConversion"/>
  <printOptions horizontalCentered="1" verticalCentered="1"/>
  <pageMargins left="0.25" right="0.25" top="0.5" bottom="0.5" header="0.3" footer="0.3"/>
  <pageSetup scale="28" orientation="landscape" horizontalDpi="4294967293" verticalDpi="4294967293" r:id="rId1"/>
  <headerFooter alignWithMargins="0"/>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7D9E2-5C28-47CF-A26D-12D5A2AC7AC0}">
  <dimension ref="A1:J28"/>
  <sheetViews>
    <sheetView zoomScaleNormal="100" workbookViewId="0">
      <selection activeCell="H16" sqref="H16"/>
    </sheetView>
  </sheetViews>
  <sheetFormatPr baseColWidth="10" defaultColWidth="8.83203125" defaultRowHeight="15" x14ac:dyDescent="0.2"/>
  <cols>
    <col min="1" max="1" width="27.5" customWidth="1"/>
    <col min="2" max="2" width="15.83203125" customWidth="1"/>
    <col min="3" max="3" width="16.83203125" customWidth="1"/>
    <col min="4" max="4" width="21.33203125" customWidth="1"/>
    <col min="6" max="6" width="14" customWidth="1"/>
    <col min="7" max="7" width="12.5" bestFit="1" customWidth="1"/>
    <col min="9" max="9" width="10" bestFit="1" customWidth="1"/>
  </cols>
  <sheetData>
    <row r="1" spans="1:10" x14ac:dyDescent="0.2">
      <c r="B1" t="s">
        <v>477</v>
      </c>
      <c r="C1" t="s">
        <v>470</v>
      </c>
    </row>
    <row r="2" spans="1:10" x14ac:dyDescent="0.2">
      <c r="D2" s="521" t="s">
        <v>469</v>
      </c>
    </row>
    <row r="3" spans="1:10" x14ac:dyDescent="0.2">
      <c r="A3" s="533" t="s">
        <v>128</v>
      </c>
      <c r="B3" s="541"/>
      <c r="C3" s="541">
        <v>618000</v>
      </c>
      <c r="D3" s="544"/>
      <c r="F3" s="544"/>
      <c r="G3" s="541"/>
    </row>
    <row r="4" spans="1:10" x14ac:dyDescent="0.2">
      <c r="B4" s="541"/>
      <c r="C4" s="541"/>
      <c r="D4" s="544"/>
      <c r="F4" s="541">
        <v>60000</v>
      </c>
      <c r="G4" s="540">
        <f>F4/C3</f>
        <v>9.7087378640776698E-2</v>
      </c>
      <c r="I4" t="s">
        <v>472</v>
      </c>
    </row>
    <row r="5" spans="1:10" x14ac:dyDescent="0.2">
      <c r="A5" t="s">
        <v>467</v>
      </c>
      <c r="B5" s="541">
        <v>324000</v>
      </c>
      <c r="C5" s="541"/>
      <c r="D5" s="552" t="s">
        <v>350</v>
      </c>
      <c r="F5" s="543">
        <f>C7-60000</f>
        <v>316465</v>
      </c>
      <c r="G5" s="540">
        <f>F5/C3</f>
        <v>0.51207928802588998</v>
      </c>
      <c r="I5" t="s">
        <v>473</v>
      </c>
    </row>
    <row r="6" spans="1:10" x14ac:dyDescent="0.2">
      <c r="A6" t="s">
        <v>468</v>
      </c>
      <c r="B6" s="541">
        <v>52465</v>
      </c>
      <c r="C6" s="541"/>
      <c r="D6" s="552" t="s">
        <v>350</v>
      </c>
      <c r="G6" s="540">
        <f>G5+G4</f>
        <v>0.60916666666666663</v>
      </c>
    </row>
    <row r="7" spans="1:10" x14ac:dyDescent="0.2">
      <c r="A7" s="533" t="s">
        <v>464</v>
      </c>
      <c r="B7" s="541"/>
      <c r="C7" s="541">
        <f>B5+B6</f>
        <v>376465</v>
      </c>
      <c r="D7" s="553">
        <f>C7/C3</f>
        <v>0.60916666666666663</v>
      </c>
      <c r="F7" s="542"/>
      <c r="G7" s="541"/>
    </row>
    <row r="8" spans="1:10" x14ac:dyDescent="0.2">
      <c r="B8" s="541"/>
      <c r="C8" s="541"/>
      <c r="D8" s="521"/>
      <c r="G8" s="541"/>
    </row>
    <row r="9" spans="1:10" x14ac:dyDescent="0.2">
      <c r="A9" t="s">
        <v>476</v>
      </c>
      <c r="B9" s="541">
        <v>105000</v>
      </c>
      <c r="C9" s="541"/>
      <c r="D9" s="521"/>
      <c r="G9" s="541"/>
      <c r="J9" s="542"/>
    </row>
    <row r="10" spans="1:10" x14ac:dyDescent="0.2">
      <c r="A10" t="s">
        <v>15</v>
      </c>
      <c r="B10" s="541">
        <v>11200</v>
      </c>
      <c r="D10" s="521"/>
      <c r="G10" s="541"/>
      <c r="J10" s="542"/>
    </row>
    <row r="11" spans="1:10" x14ac:dyDescent="0.2">
      <c r="A11" s="533" t="s">
        <v>465</v>
      </c>
      <c r="B11" s="541"/>
      <c r="C11" s="541">
        <f>B9+B10</f>
        <v>116200</v>
      </c>
      <c r="D11" s="553">
        <f>C11/C3</f>
        <v>0.18802588996763753</v>
      </c>
      <c r="F11" s="542"/>
      <c r="G11" s="541"/>
      <c r="J11" s="542"/>
    </row>
    <row r="12" spans="1:10" x14ac:dyDescent="0.2">
      <c r="B12" s="541"/>
      <c r="C12" s="541"/>
      <c r="D12" s="521"/>
      <c r="G12" s="541"/>
      <c r="J12" s="542"/>
    </row>
    <row r="13" spans="1:10" x14ac:dyDescent="0.2">
      <c r="A13" s="533" t="s">
        <v>466</v>
      </c>
      <c r="B13" s="541"/>
      <c r="C13" s="541">
        <f>C3-C7-C11-C15</f>
        <v>96290</v>
      </c>
      <c r="D13" s="553">
        <f>C13/C3</f>
        <v>0.15580906148867313</v>
      </c>
      <c r="F13" s="542"/>
      <c r="G13" s="541"/>
      <c r="J13" s="542"/>
    </row>
    <row r="14" spans="1:10" x14ac:dyDescent="0.2">
      <c r="D14" s="521"/>
      <c r="G14" s="541"/>
      <c r="J14" s="542"/>
    </row>
    <row r="15" spans="1:10" x14ac:dyDescent="0.2">
      <c r="A15" s="533" t="s">
        <v>471</v>
      </c>
      <c r="C15" s="541">
        <v>29045</v>
      </c>
      <c r="D15" s="553">
        <f>C15/C3</f>
        <v>4.6998381877022655E-2</v>
      </c>
      <c r="F15" s="542"/>
      <c r="G15" s="541"/>
      <c r="I15" s="543"/>
    </row>
    <row r="16" spans="1:10" x14ac:dyDescent="0.2">
      <c r="D16" s="554">
        <f>SUM(D7:D15)</f>
        <v>0.99999999999999989</v>
      </c>
    </row>
    <row r="18" spans="1:8" x14ac:dyDescent="0.2">
      <c r="G18" s="541"/>
      <c r="H18" s="540"/>
    </row>
    <row r="19" spans="1:8" x14ac:dyDescent="0.2">
      <c r="G19" s="541"/>
      <c r="H19" s="540"/>
    </row>
    <row r="20" spans="1:8" x14ac:dyDescent="0.2">
      <c r="A20" s="533" t="s">
        <v>475</v>
      </c>
    </row>
    <row r="21" spans="1:8" x14ac:dyDescent="0.2">
      <c r="A21" t="s">
        <v>479</v>
      </c>
      <c r="B21" s="542">
        <v>0.45</v>
      </c>
    </row>
    <row r="22" spans="1:8" x14ac:dyDescent="0.2">
      <c r="A22" t="s">
        <v>480</v>
      </c>
      <c r="B22" s="542">
        <v>0.1</v>
      </c>
    </row>
    <row r="23" spans="1:8" x14ac:dyDescent="0.2">
      <c r="A23" t="s">
        <v>481</v>
      </c>
      <c r="B23" s="542">
        <v>0.2</v>
      </c>
    </row>
    <row r="24" spans="1:8" x14ac:dyDescent="0.2">
      <c r="A24" t="s">
        <v>474</v>
      </c>
      <c r="B24" s="542">
        <v>0.15</v>
      </c>
    </row>
    <row r="25" spans="1:8" x14ac:dyDescent="0.2">
      <c r="A25" t="s">
        <v>471</v>
      </c>
      <c r="B25" s="542">
        <v>0.1</v>
      </c>
    </row>
    <row r="26" spans="1:8" x14ac:dyDescent="0.2">
      <c r="B26" s="542">
        <f>SUM(B21:B25)</f>
        <v>1</v>
      </c>
    </row>
    <row r="28" spans="1:8" ht="21" x14ac:dyDescent="0.25">
      <c r="A28" s="545" t="s">
        <v>478</v>
      </c>
    </row>
  </sheetData>
  <pageMargins left="0.7" right="0.7" top="0.75" bottom="0.75" header="0.3" footer="0.3"/>
  <pageSetup orientation="portrait" horizontalDpi="4294967293" verticalDpi="4294967293"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BB891-42DA-45C1-AFC9-1ADE6D068711}">
  <dimension ref="A1"/>
  <sheetViews>
    <sheetView workbookViewId="0"/>
  </sheetViews>
  <sheetFormatPr baseColWidth="10" defaultColWidth="8.83203125" defaultRowHeight="1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0">
    <tabColor rgb="FFFFC95B"/>
    <pageSetUpPr fitToPage="1"/>
  </sheetPr>
  <dimension ref="B2:R44"/>
  <sheetViews>
    <sheetView topLeftCell="A25" workbookViewId="0">
      <selection activeCell="D25" sqref="D25"/>
    </sheetView>
  </sheetViews>
  <sheetFormatPr baseColWidth="10" defaultColWidth="8.83203125" defaultRowHeight="12" x14ac:dyDescent="0.15"/>
  <cols>
    <col min="1" max="1" width="6.6640625" style="43" customWidth="1"/>
    <col min="2" max="2" width="30.83203125" style="43" bestFit="1" customWidth="1"/>
    <col min="3" max="3" width="17.5" style="43" bestFit="1" customWidth="1"/>
    <col min="4" max="4" width="13.5" style="43" bestFit="1" customWidth="1"/>
    <col min="5" max="11" width="9.6640625" style="43" customWidth="1"/>
    <col min="12" max="12" width="11.83203125" style="43" bestFit="1" customWidth="1"/>
    <col min="13" max="13" width="9.6640625" style="43" customWidth="1"/>
    <col min="14" max="15" width="11.1640625" style="43" bestFit="1" customWidth="1"/>
    <col min="16" max="16" width="15.6640625" style="43" bestFit="1" customWidth="1"/>
    <col min="17" max="18" width="9.33203125" style="43" customWidth="1"/>
    <col min="19" max="16384" width="8.83203125" style="43"/>
  </cols>
  <sheetData>
    <row r="2" spans="2:5" x14ac:dyDescent="0.15">
      <c r="B2" s="9" t="s">
        <v>311</v>
      </c>
      <c r="C2" s="160"/>
      <c r="E2" s="140"/>
    </row>
    <row r="3" spans="2:5" x14ac:dyDescent="0.15">
      <c r="B3" s="160"/>
      <c r="C3" s="160"/>
    </row>
    <row r="4" spans="2:5" x14ac:dyDescent="0.15">
      <c r="B4" s="152" t="s">
        <v>119</v>
      </c>
      <c r="C4" s="152" t="s">
        <v>120</v>
      </c>
    </row>
    <row r="5" spans="2:5" x14ac:dyDescent="0.15">
      <c r="B5" s="161" t="str">
        <f>IF(ISBLANK(Directions!C6), "Owner", Directions!C6)</f>
        <v>Owner</v>
      </c>
      <c r="C5" s="161" t="str">
        <f>IF(ISBLANK(Directions!D6), "Company 1", Directions!D6)</f>
        <v>Company 1</v>
      </c>
    </row>
    <row r="6" spans="2:5" x14ac:dyDescent="0.15">
      <c r="B6" s="162"/>
    </row>
    <row r="7" spans="2:5" ht="13" thickBot="1" x14ac:dyDescent="0.2">
      <c r="B7" s="711" t="s">
        <v>312</v>
      </c>
      <c r="C7" s="711"/>
      <c r="D7" s="711"/>
      <c r="E7" s="711"/>
    </row>
    <row r="8" spans="2:5" ht="13" thickTop="1" x14ac:dyDescent="0.15">
      <c r="B8" s="314" t="s">
        <v>262</v>
      </c>
      <c r="C8" s="315" t="s">
        <v>234</v>
      </c>
      <c r="D8" s="315" t="s">
        <v>235</v>
      </c>
      <c r="E8" s="315" t="s">
        <v>236</v>
      </c>
    </row>
    <row r="9" spans="2:5" x14ac:dyDescent="0.15">
      <c r="B9" s="163" t="s">
        <v>263</v>
      </c>
      <c r="C9" s="164"/>
      <c r="D9" s="164"/>
      <c r="E9" s="164"/>
    </row>
    <row r="10" spans="2:5" x14ac:dyDescent="0.15">
      <c r="B10" s="163" t="s">
        <v>264</v>
      </c>
      <c r="C10" s="164"/>
      <c r="D10" s="164"/>
      <c r="E10" s="164"/>
    </row>
    <row r="11" spans="2:5" x14ac:dyDescent="0.15">
      <c r="B11" s="163" t="s">
        <v>265</v>
      </c>
      <c r="C11" s="164"/>
      <c r="D11" s="164"/>
      <c r="E11" s="164"/>
    </row>
    <row r="12" spans="2:5" x14ac:dyDescent="0.15">
      <c r="B12" s="163" t="s">
        <v>19</v>
      </c>
      <c r="C12" s="168">
        <f>1-SUM(C9:C11)</f>
        <v>1</v>
      </c>
      <c r="D12" s="168">
        <f t="shared" ref="D12:E12" si="0">1-SUM(D9:D11)</f>
        <v>1</v>
      </c>
      <c r="E12" s="168">
        <f t="shared" si="0"/>
        <v>1</v>
      </c>
    </row>
    <row r="13" spans="2:5" x14ac:dyDescent="0.15">
      <c r="B13" s="172" t="s">
        <v>288</v>
      </c>
      <c r="C13" s="173">
        <f>SUM(C9:C12)</f>
        <v>1</v>
      </c>
      <c r="D13" s="173">
        <f t="shared" ref="D13:E13" si="1">SUM(D9:D12)</f>
        <v>1</v>
      </c>
      <c r="E13" s="173">
        <f t="shared" si="1"/>
        <v>1</v>
      </c>
    </row>
    <row r="15" spans="2:5" ht="13" thickBot="1" x14ac:dyDescent="0.2">
      <c r="B15" s="711" t="s">
        <v>261</v>
      </c>
      <c r="C15" s="711"/>
      <c r="D15" s="711"/>
      <c r="E15" s="711"/>
    </row>
    <row r="16" spans="2:5" ht="13" thickTop="1" x14ac:dyDescent="0.15">
      <c r="B16" s="314" t="s">
        <v>266</v>
      </c>
      <c r="C16" s="315" t="s">
        <v>234</v>
      </c>
      <c r="D16" s="315" t="s">
        <v>235</v>
      </c>
      <c r="E16" s="315" t="s">
        <v>236</v>
      </c>
    </row>
    <row r="17" spans="2:18" x14ac:dyDescent="0.15">
      <c r="B17" s="165" t="s">
        <v>263</v>
      </c>
      <c r="C17" s="164"/>
      <c r="D17" s="164"/>
      <c r="E17" s="164"/>
    </row>
    <row r="18" spans="2:18" x14ac:dyDescent="0.15">
      <c r="B18" s="165" t="s">
        <v>264</v>
      </c>
      <c r="C18" s="164"/>
      <c r="D18" s="164"/>
      <c r="E18" s="164"/>
    </row>
    <row r="19" spans="2:18" x14ac:dyDescent="0.15">
      <c r="B19" s="48" t="s">
        <v>265</v>
      </c>
      <c r="C19" s="164"/>
      <c r="D19" s="164"/>
      <c r="E19" s="164"/>
    </row>
    <row r="20" spans="2:18" x14ac:dyDescent="0.15">
      <c r="B20" s="172" t="s">
        <v>288</v>
      </c>
      <c r="C20" s="173">
        <f>SUM(C17:C19)</f>
        <v>0</v>
      </c>
      <c r="D20" s="173">
        <f t="shared" ref="D20:E20" si="2">SUM(D17:D19)</f>
        <v>0</v>
      </c>
      <c r="E20" s="173">
        <f t="shared" si="2"/>
        <v>0</v>
      </c>
    </row>
    <row r="23" spans="2:18" ht="13" thickBot="1" x14ac:dyDescent="0.2">
      <c r="B23" s="711" t="s">
        <v>187</v>
      </c>
      <c r="C23" s="711"/>
      <c r="D23" s="711"/>
    </row>
    <row r="24" spans="2:18" ht="13" thickTop="1" x14ac:dyDescent="0.15">
      <c r="B24" s="712" t="s">
        <v>188</v>
      </c>
      <c r="C24" s="713"/>
      <c r="D24" s="316">
        <v>0</v>
      </c>
    </row>
    <row r="25" spans="2:18" x14ac:dyDescent="0.15">
      <c r="B25" s="714" t="s">
        <v>189</v>
      </c>
      <c r="C25" s="715"/>
      <c r="D25" s="169"/>
    </row>
    <row r="27" spans="2:18" ht="13" thickBot="1" x14ac:dyDescent="0.2">
      <c r="B27" s="711" t="s">
        <v>241</v>
      </c>
      <c r="C27" s="711"/>
      <c r="D27" s="711"/>
      <c r="E27" s="711"/>
      <c r="F27" s="711"/>
      <c r="G27" s="711"/>
      <c r="H27" s="711"/>
      <c r="I27" s="711"/>
      <c r="J27" s="711"/>
      <c r="K27" s="711"/>
      <c r="L27" s="711"/>
      <c r="M27" s="711"/>
      <c r="N27" s="711"/>
      <c r="O27" s="711"/>
      <c r="P27" s="711"/>
      <c r="Q27" s="711"/>
      <c r="R27" s="711"/>
    </row>
    <row r="28" spans="2:18" ht="27" thickTop="1" x14ac:dyDescent="0.15">
      <c r="B28" s="317" t="s">
        <v>33</v>
      </c>
      <c r="C28" s="318" t="s">
        <v>147</v>
      </c>
      <c r="D28" s="319" t="str">
        <f>'2a-PayrollYear1'!F7</f>
        <v>Month 1</v>
      </c>
      <c r="E28" s="319" t="str">
        <f>'2a-PayrollYear1'!G7</f>
        <v>Month 2</v>
      </c>
      <c r="F28" s="319" t="str">
        <f>'2a-PayrollYear1'!H7</f>
        <v>Month 3</v>
      </c>
      <c r="G28" s="319" t="str">
        <f>'2a-PayrollYear1'!I7</f>
        <v>Month 4</v>
      </c>
      <c r="H28" s="319" t="str">
        <f>'2a-PayrollYear1'!J7</f>
        <v>Month 5</v>
      </c>
      <c r="I28" s="319" t="str">
        <f>'2a-PayrollYear1'!K7</f>
        <v>Month 6</v>
      </c>
      <c r="J28" s="319" t="str">
        <f>'2a-PayrollYear1'!L7</f>
        <v>Month 7</v>
      </c>
      <c r="K28" s="319" t="str">
        <f>'2a-PayrollYear1'!M7</f>
        <v>Month 8</v>
      </c>
      <c r="L28" s="319" t="str">
        <f>'2a-PayrollYear1'!N7</f>
        <v>Month 9</v>
      </c>
      <c r="M28" s="319" t="str">
        <f>'2a-PayrollYear1'!O7</f>
        <v>Month 10</v>
      </c>
      <c r="N28" s="319" t="str">
        <f>'2a-PayrollYear1'!P7</f>
        <v>Month 11</v>
      </c>
      <c r="O28" s="319" t="str">
        <f>'2a-PayrollYear1'!Q7</f>
        <v>Month 12</v>
      </c>
      <c r="P28" s="320" t="s">
        <v>197</v>
      </c>
      <c r="Q28" s="319" t="s">
        <v>208</v>
      </c>
      <c r="R28" s="319" t="s">
        <v>209</v>
      </c>
    </row>
    <row r="29" spans="2:18" x14ac:dyDescent="0.15">
      <c r="B29" s="171" t="s">
        <v>332</v>
      </c>
      <c r="C29" s="51">
        <v>20</v>
      </c>
      <c r="D29" s="283">
        <f>Buildings</f>
        <v>0</v>
      </c>
      <c r="E29" s="290"/>
      <c r="F29" s="291"/>
      <c r="G29" s="291"/>
      <c r="H29" s="291"/>
      <c r="I29" s="291"/>
      <c r="J29" s="291"/>
      <c r="K29" s="291"/>
      <c r="L29" s="291"/>
      <c r="M29" s="291"/>
      <c r="N29" s="291"/>
      <c r="O29" s="291"/>
      <c r="P29" s="47">
        <f t="shared" ref="P29:P34" si="3">SUM(D29:O29)</f>
        <v>0</v>
      </c>
      <c r="Q29" s="294"/>
      <c r="R29" s="294"/>
    </row>
    <row r="30" spans="2:18" x14ac:dyDescent="0.15">
      <c r="B30" s="171" t="s">
        <v>35</v>
      </c>
      <c r="C30" s="51">
        <v>7</v>
      </c>
      <c r="D30" s="283">
        <f>LeaseImprovements</f>
        <v>0</v>
      </c>
      <c r="E30" s="290"/>
      <c r="F30" s="291"/>
      <c r="G30" s="291"/>
      <c r="H30" s="291"/>
      <c r="I30" s="291"/>
      <c r="J30" s="291"/>
      <c r="K30" s="291"/>
      <c r="L30" s="291"/>
      <c r="M30" s="291"/>
      <c r="N30" s="291"/>
      <c r="O30" s="291"/>
      <c r="P30" s="47">
        <f t="shared" si="3"/>
        <v>0</v>
      </c>
      <c r="Q30" s="294"/>
      <c r="R30" s="294"/>
    </row>
    <row r="31" spans="2:18" x14ac:dyDescent="0.15">
      <c r="B31" s="171" t="s">
        <v>2</v>
      </c>
      <c r="C31" s="51">
        <v>7</v>
      </c>
      <c r="D31" s="283">
        <f>Equipment</f>
        <v>0</v>
      </c>
      <c r="E31" s="290"/>
      <c r="F31" s="291"/>
      <c r="G31" s="291"/>
      <c r="H31" s="291"/>
      <c r="I31" s="291"/>
      <c r="J31" s="291"/>
      <c r="K31" s="291"/>
      <c r="L31" s="291"/>
      <c r="M31" s="291"/>
      <c r="N31" s="291"/>
      <c r="O31" s="291"/>
      <c r="P31" s="47">
        <f t="shared" si="3"/>
        <v>0</v>
      </c>
      <c r="Q31" s="294"/>
      <c r="R31" s="294"/>
    </row>
    <row r="32" spans="2:18" x14ac:dyDescent="0.15">
      <c r="B32" s="171" t="s">
        <v>36</v>
      </c>
      <c r="C32" s="51">
        <v>5</v>
      </c>
      <c r="D32" s="283">
        <f>Furniture</f>
        <v>0</v>
      </c>
      <c r="E32" s="290"/>
      <c r="F32" s="291"/>
      <c r="G32" s="291"/>
      <c r="H32" s="291"/>
      <c r="I32" s="291"/>
      <c r="J32" s="291"/>
      <c r="K32" s="291"/>
      <c r="L32" s="291"/>
      <c r="M32" s="291"/>
      <c r="N32" s="291"/>
      <c r="O32" s="291"/>
      <c r="P32" s="47">
        <f t="shared" si="3"/>
        <v>0</v>
      </c>
      <c r="Q32" s="294"/>
      <c r="R32" s="294"/>
    </row>
    <row r="33" spans="2:18" x14ac:dyDescent="0.15">
      <c r="B33" s="171" t="s">
        <v>3</v>
      </c>
      <c r="C33" s="51">
        <v>5</v>
      </c>
      <c r="D33" s="283">
        <f>Vehicles</f>
        <v>0</v>
      </c>
      <c r="E33" s="290"/>
      <c r="F33" s="291"/>
      <c r="G33" s="291"/>
      <c r="H33" s="291"/>
      <c r="I33" s="291"/>
      <c r="J33" s="291"/>
      <c r="K33" s="291"/>
      <c r="L33" s="291"/>
      <c r="M33" s="291"/>
      <c r="N33" s="291"/>
      <c r="O33" s="291"/>
      <c r="P33" s="47">
        <f t="shared" si="3"/>
        <v>0</v>
      </c>
      <c r="Q33" s="294"/>
      <c r="R33" s="294"/>
    </row>
    <row r="34" spans="2:18" x14ac:dyDescent="0.15">
      <c r="B34" s="171" t="s">
        <v>37</v>
      </c>
      <c r="C34" s="170">
        <v>5</v>
      </c>
      <c r="D34" s="289">
        <f>OtherFixedAssets</f>
        <v>0</v>
      </c>
      <c r="E34" s="292"/>
      <c r="F34" s="293"/>
      <c r="G34" s="291"/>
      <c r="H34" s="291"/>
      <c r="I34" s="291"/>
      <c r="J34" s="291"/>
      <c r="K34" s="291"/>
      <c r="L34" s="291"/>
      <c r="M34" s="291"/>
      <c r="N34" s="291"/>
      <c r="O34" s="291"/>
      <c r="P34" s="47">
        <f t="shared" si="3"/>
        <v>0</v>
      </c>
      <c r="Q34" s="294">
        <v>0</v>
      </c>
      <c r="R34" s="294">
        <v>0</v>
      </c>
    </row>
    <row r="35" spans="2:18" x14ac:dyDescent="0.15">
      <c r="B35" s="167" t="s">
        <v>207</v>
      </c>
      <c r="C35" s="45"/>
      <c r="D35" s="50">
        <f>SUM(D29:D34)</f>
        <v>0</v>
      </c>
      <c r="E35" s="50">
        <f t="shared" ref="E35:R35" si="4">SUM(E29:E34)</f>
        <v>0</v>
      </c>
      <c r="F35" s="50">
        <f t="shared" si="4"/>
        <v>0</v>
      </c>
      <c r="G35" s="50">
        <f t="shared" si="4"/>
        <v>0</v>
      </c>
      <c r="H35" s="50">
        <f t="shared" si="4"/>
        <v>0</v>
      </c>
      <c r="I35" s="50">
        <f t="shared" si="4"/>
        <v>0</v>
      </c>
      <c r="J35" s="50">
        <f t="shared" si="4"/>
        <v>0</v>
      </c>
      <c r="K35" s="50">
        <f t="shared" si="4"/>
        <v>0</v>
      </c>
      <c r="L35" s="50">
        <f t="shared" si="4"/>
        <v>0</v>
      </c>
      <c r="M35" s="50">
        <f t="shared" si="4"/>
        <v>0</v>
      </c>
      <c r="N35" s="50">
        <f t="shared" si="4"/>
        <v>0</v>
      </c>
      <c r="O35" s="50">
        <f t="shared" si="4"/>
        <v>0</v>
      </c>
      <c r="P35" s="50">
        <f t="shared" si="4"/>
        <v>0</v>
      </c>
      <c r="Q35" s="50">
        <f t="shared" si="4"/>
        <v>0</v>
      </c>
      <c r="R35" s="50">
        <f t="shared" si="4"/>
        <v>0</v>
      </c>
    </row>
    <row r="38" spans="2:18" ht="13" thickBot="1" x14ac:dyDescent="0.2">
      <c r="B38" s="711" t="s">
        <v>242</v>
      </c>
      <c r="C38" s="711"/>
      <c r="D38" s="29"/>
      <c r="E38" s="29"/>
      <c r="F38" s="30"/>
      <c r="G38" s="31"/>
      <c r="H38" s="32"/>
    </row>
    <row r="39" spans="2:18" ht="13" thickTop="1" x14ac:dyDescent="0.15">
      <c r="B39" s="303" t="s">
        <v>335</v>
      </c>
      <c r="C39" s="321"/>
      <c r="D39" s="29"/>
      <c r="E39" s="29"/>
      <c r="F39" s="30"/>
      <c r="G39" s="33"/>
    </row>
    <row r="40" spans="2:18" x14ac:dyDescent="0.15">
      <c r="B40" s="303" t="s">
        <v>336</v>
      </c>
      <c r="C40" s="321"/>
      <c r="D40" s="29"/>
      <c r="E40" s="29"/>
      <c r="F40" s="30"/>
      <c r="G40" s="33"/>
    </row>
    <row r="41" spans="2:18" x14ac:dyDescent="0.15">
      <c r="B41" s="303" t="s">
        <v>337</v>
      </c>
      <c r="C41" s="321"/>
    </row>
    <row r="43" spans="2:18" ht="13" thickBot="1" x14ac:dyDescent="0.2">
      <c r="B43" s="711" t="s">
        <v>245</v>
      </c>
      <c r="C43" s="711"/>
    </row>
    <row r="44" spans="2:18" ht="13" thickTop="1" x14ac:dyDescent="0.15">
      <c r="B44" s="322" t="s">
        <v>272</v>
      </c>
      <c r="C44" s="323">
        <v>3</v>
      </c>
    </row>
  </sheetData>
  <sheetProtection password="CC3D" sheet="1" objects="1" scenarios="1" formatColumns="0" formatRows="0"/>
  <mergeCells count="8">
    <mergeCell ref="B38:C38"/>
    <mergeCell ref="B43:C43"/>
    <mergeCell ref="B27:R27"/>
    <mergeCell ref="B15:E15"/>
    <mergeCell ref="B7:E7"/>
    <mergeCell ref="B24:C24"/>
    <mergeCell ref="B25:C25"/>
    <mergeCell ref="B23:D23"/>
  </mergeCells>
  <phoneticPr fontId="3" type="noConversion"/>
  <conditionalFormatting sqref="D29:O34 Q29:R34">
    <cfRule type="containsBlanks" dxfId="113" priority="3">
      <formula>LEN(TRIM(D29))=0</formula>
    </cfRule>
  </conditionalFormatting>
  <printOptions horizontalCentered="1"/>
  <pageMargins left="0.7" right="0.7" top="0.75" bottom="0.75" header="0.3" footer="0.3"/>
  <pageSetup scale="58" orientation="landscape"/>
  <headerFooter scaleWithDoc="0">
    <oddHeader>&amp;C&amp;"Gill Sans MT,Regular"&amp;12Additional Inputs</oddHeader>
    <oddFooter>&amp;L&amp;"Gill Sans MT,Regular"&amp;12&amp;F&amp;C&amp;"Gill Sans MT,Regular"&amp;12&amp;A&amp;R&amp;"Gill Sans MT,Regular"&amp;12&amp;D &amp;T</oddFooter>
  </headerFooter>
  <ignoredErrors>
    <ignoredError sqref="P29 P30:P34" formulaRange="1"/>
  </ignoredErrors>
  <legacy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6">
    <tabColor rgb="FFFFC95B"/>
    <pageSetUpPr fitToPage="1"/>
  </sheetPr>
  <dimension ref="A1:R31"/>
  <sheetViews>
    <sheetView workbookViewId="0">
      <selection activeCell="B23" sqref="B23"/>
    </sheetView>
  </sheetViews>
  <sheetFormatPr baseColWidth="10" defaultColWidth="9.1640625" defaultRowHeight="12" x14ac:dyDescent="0.15"/>
  <cols>
    <col min="1" max="1" width="30.33203125" style="43" bestFit="1" customWidth="1"/>
    <col min="2" max="2" width="16.1640625" style="43" bestFit="1" customWidth="1"/>
    <col min="3" max="3" width="14.33203125" style="43" customWidth="1"/>
    <col min="4" max="4" width="12.33203125" style="43" customWidth="1"/>
    <col min="5" max="5" width="16" style="43" customWidth="1"/>
    <col min="6" max="6" width="9.6640625" style="43" customWidth="1"/>
    <col min="7" max="7" width="8.5" style="43" bestFit="1" customWidth="1"/>
    <col min="8" max="14" width="9.6640625" style="43" customWidth="1"/>
    <col min="15" max="17" width="10.33203125" style="43" bestFit="1" customWidth="1"/>
    <col min="18" max="18" width="12.1640625" style="43" bestFit="1" customWidth="1"/>
    <col min="19" max="16384" width="9.1640625" style="43"/>
  </cols>
  <sheetData>
    <row r="1" spans="1:18" x14ac:dyDescent="0.15">
      <c r="A1" s="9"/>
      <c r="B1" s="9"/>
      <c r="C1" s="9"/>
      <c r="D1" s="9"/>
      <c r="E1" s="9"/>
      <c r="F1" s="9"/>
    </row>
    <row r="2" spans="1:18" x14ac:dyDescent="0.15">
      <c r="B2" s="52" t="s">
        <v>320</v>
      </c>
      <c r="C2" s="53"/>
      <c r="D2" s="53"/>
      <c r="E2" s="53"/>
      <c r="F2" s="53"/>
    </row>
    <row r="3" spans="1:18" x14ac:dyDescent="0.15">
      <c r="B3" s="54"/>
      <c r="C3" s="53"/>
      <c r="D3" s="53"/>
      <c r="E3" s="53"/>
      <c r="F3" s="53"/>
    </row>
    <row r="4" spans="1:18" x14ac:dyDescent="0.15">
      <c r="B4" s="52" t="s">
        <v>119</v>
      </c>
      <c r="C4" s="55" t="s">
        <v>120</v>
      </c>
      <c r="D4" s="53"/>
      <c r="E4" s="53"/>
      <c r="F4" s="53"/>
    </row>
    <row r="5" spans="1:18" x14ac:dyDescent="0.15">
      <c r="B5" s="5" t="str">
        <f>IF(ISBLANK(Directions!C6), "Owner", Directions!C6)</f>
        <v>Owner</v>
      </c>
      <c r="C5" s="43" t="str">
        <f>IF(ISBLANK(Directions!D6), "Company 1", Directions!D6)</f>
        <v>Company 1</v>
      </c>
      <c r="D5" s="53"/>
      <c r="E5" s="53"/>
      <c r="F5" s="53"/>
    </row>
    <row r="6" spans="1:18" x14ac:dyDescent="0.15">
      <c r="B6" s="9"/>
      <c r="C6" s="9"/>
      <c r="D6" s="9"/>
      <c r="E6" s="9"/>
      <c r="F6" s="9"/>
      <c r="G6" s="5"/>
      <c r="H6" s="5"/>
      <c r="I6" s="5"/>
      <c r="J6" s="5"/>
      <c r="K6" s="5"/>
      <c r="L6" s="5"/>
      <c r="M6" s="5"/>
    </row>
    <row r="7" spans="1:18" ht="40" thickBot="1" x14ac:dyDescent="0.2">
      <c r="A7" s="326" t="s">
        <v>163</v>
      </c>
      <c r="B7" s="326" t="s">
        <v>200</v>
      </c>
      <c r="C7" s="326" t="s">
        <v>324</v>
      </c>
      <c r="D7" s="326" t="s">
        <v>321</v>
      </c>
      <c r="E7" s="326" t="s">
        <v>286</v>
      </c>
      <c r="F7" s="413" t="str">
        <f>Directions!B34</f>
        <v>Month 1</v>
      </c>
      <c r="G7" s="413" t="str">
        <f>Directions!C34</f>
        <v>Month 2</v>
      </c>
      <c r="H7" s="413" t="str">
        <f>Directions!D34</f>
        <v>Month 3</v>
      </c>
      <c r="I7" s="413" t="str">
        <f>Directions!E34</f>
        <v>Month 4</v>
      </c>
      <c r="J7" s="413" t="str">
        <f>Directions!F34</f>
        <v>Month 5</v>
      </c>
      <c r="K7" s="413" t="str">
        <f>Directions!G34</f>
        <v>Month 6</v>
      </c>
      <c r="L7" s="413" t="str">
        <f>Directions!H34</f>
        <v>Month 7</v>
      </c>
      <c r="M7" s="413" t="str">
        <f>Directions!I34</f>
        <v>Month 8</v>
      </c>
      <c r="N7" s="413" t="str">
        <f>Directions!J34</f>
        <v>Month 9</v>
      </c>
      <c r="O7" s="413" t="str">
        <f>Directions!K34</f>
        <v>Month 10</v>
      </c>
      <c r="P7" s="413" t="str">
        <f>Directions!L34</f>
        <v>Month 11</v>
      </c>
      <c r="Q7" s="413" t="str">
        <f>Directions!M34</f>
        <v>Month 12</v>
      </c>
      <c r="R7" s="326" t="s">
        <v>81</v>
      </c>
    </row>
    <row r="8" spans="1:18" ht="13" thickTop="1" x14ac:dyDescent="0.15">
      <c r="A8" s="303" t="s">
        <v>112</v>
      </c>
      <c r="B8" s="422"/>
      <c r="C8" s="423"/>
      <c r="D8" s="437"/>
      <c r="E8" s="57">
        <f t="shared" ref="E8:E10" si="0">(C8*D8*B8)*52/12</f>
        <v>0</v>
      </c>
      <c r="F8" s="305">
        <f>E8</f>
        <v>0</v>
      </c>
      <c r="G8" s="305">
        <f t="shared" ref="G8:Q8" si="1">F8</f>
        <v>0</v>
      </c>
      <c r="H8" s="305">
        <f t="shared" si="1"/>
        <v>0</v>
      </c>
      <c r="I8" s="305">
        <f t="shared" si="1"/>
        <v>0</v>
      </c>
      <c r="J8" s="305">
        <f t="shared" si="1"/>
        <v>0</v>
      </c>
      <c r="K8" s="305">
        <f t="shared" si="1"/>
        <v>0</v>
      </c>
      <c r="L8" s="305">
        <f t="shared" si="1"/>
        <v>0</v>
      </c>
      <c r="M8" s="305">
        <f t="shared" si="1"/>
        <v>0</v>
      </c>
      <c r="N8" s="305">
        <f t="shared" si="1"/>
        <v>0</v>
      </c>
      <c r="O8" s="305">
        <f t="shared" si="1"/>
        <v>0</v>
      </c>
      <c r="P8" s="305">
        <f t="shared" si="1"/>
        <v>0</v>
      </c>
      <c r="Q8" s="305">
        <f t="shared" si="1"/>
        <v>0</v>
      </c>
      <c r="R8" s="306">
        <f>SUM(F8:Q8)</f>
        <v>0</v>
      </c>
    </row>
    <row r="9" spans="1:18" x14ac:dyDescent="0.15">
      <c r="A9" s="7" t="s">
        <v>87</v>
      </c>
      <c r="B9" s="424"/>
      <c r="C9" s="425"/>
      <c r="D9" s="438"/>
      <c r="E9" s="57">
        <f t="shared" si="0"/>
        <v>0</v>
      </c>
      <c r="F9" s="133">
        <f t="shared" ref="F9:Q11" si="2">E9</f>
        <v>0</v>
      </c>
      <c r="G9" s="133">
        <f t="shared" si="2"/>
        <v>0</v>
      </c>
      <c r="H9" s="133">
        <f t="shared" si="2"/>
        <v>0</v>
      </c>
      <c r="I9" s="133">
        <f t="shared" si="2"/>
        <v>0</v>
      </c>
      <c r="J9" s="133">
        <f t="shared" si="2"/>
        <v>0</v>
      </c>
      <c r="K9" s="133">
        <f t="shared" si="2"/>
        <v>0</v>
      </c>
      <c r="L9" s="133">
        <f t="shared" si="2"/>
        <v>0</v>
      </c>
      <c r="M9" s="133">
        <f t="shared" si="2"/>
        <v>0</v>
      </c>
      <c r="N9" s="133">
        <f t="shared" si="2"/>
        <v>0</v>
      </c>
      <c r="O9" s="133">
        <f t="shared" si="2"/>
        <v>0</v>
      </c>
      <c r="P9" s="133">
        <f t="shared" si="2"/>
        <v>0</v>
      </c>
      <c r="Q9" s="133">
        <f t="shared" si="2"/>
        <v>0</v>
      </c>
      <c r="R9" s="58">
        <f>SUM(F9:Q9)</f>
        <v>0</v>
      </c>
    </row>
    <row r="10" spans="1:18" x14ac:dyDescent="0.15">
      <c r="A10" s="7" t="s">
        <v>88</v>
      </c>
      <c r="B10" s="424"/>
      <c r="C10" s="425"/>
      <c r="D10" s="438"/>
      <c r="E10" s="57">
        <f t="shared" si="0"/>
        <v>0</v>
      </c>
      <c r="F10" s="133">
        <f t="shared" si="2"/>
        <v>0</v>
      </c>
      <c r="G10" s="133">
        <f t="shared" si="2"/>
        <v>0</v>
      </c>
      <c r="H10" s="133">
        <f t="shared" si="2"/>
        <v>0</v>
      </c>
      <c r="I10" s="133">
        <f t="shared" si="2"/>
        <v>0</v>
      </c>
      <c r="J10" s="133">
        <f t="shared" si="2"/>
        <v>0</v>
      </c>
      <c r="K10" s="133">
        <f t="shared" si="2"/>
        <v>0</v>
      </c>
      <c r="L10" s="133">
        <f t="shared" si="2"/>
        <v>0</v>
      </c>
      <c r="M10" s="133">
        <f t="shared" si="2"/>
        <v>0</v>
      </c>
      <c r="N10" s="133">
        <f t="shared" si="2"/>
        <v>0</v>
      </c>
      <c r="O10" s="133">
        <f t="shared" si="2"/>
        <v>0</v>
      </c>
      <c r="P10" s="133">
        <f t="shared" si="2"/>
        <v>0</v>
      </c>
      <c r="Q10" s="133">
        <f t="shared" si="2"/>
        <v>0</v>
      </c>
      <c r="R10" s="58">
        <f>SUM(F10:Q10)</f>
        <v>0</v>
      </c>
    </row>
    <row r="11" spans="1:18" x14ac:dyDescent="0.15">
      <c r="A11" s="7" t="s">
        <v>89</v>
      </c>
      <c r="B11" s="424">
        <v>0</v>
      </c>
      <c r="C11" s="425">
        <v>0</v>
      </c>
      <c r="D11" s="438">
        <v>0</v>
      </c>
      <c r="E11" s="57">
        <f>(C11*D11*B11)*52/12</f>
        <v>0</v>
      </c>
      <c r="F11" s="133">
        <f t="shared" si="2"/>
        <v>0</v>
      </c>
      <c r="G11" s="133">
        <f t="shared" si="2"/>
        <v>0</v>
      </c>
      <c r="H11" s="133">
        <f t="shared" si="2"/>
        <v>0</v>
      </c>
      <c r="I11" s="133">
        <f t="shared" si="2"/>
        <v>0</v>
      </c>
      <c r="J11" s="133">
        <f t="shared" si="2"/>
        <v>0</v>
      </c>
      <c r="K11" s="133">
        <f t="shared" si="2"/>
        <v>0</v>
      </c>
      <c r="L11" s="133">
        <f t="shared" si="2"/>
        <v>0</v>
      </c>
      <c r="M11" s="133">
        <f t="shared" si="2"/>
        <v>0</v>
      </c>
      <c r="N11" s="133">
        <f t="shared" si="2"/>
        <v>0</v>
      </c>
      <c r="O11" s="133">
        <f t="shared" si="2"/>
        <v>0</v>
      </c>
      <c r="P11" s="133">
        <f t="shared" si="2"/>
        <v>0</v>
      </c>
      <c r="Q11" s="133">
        <f t="shared" si="2"/>
        <v>0</v>
      </c>
      <c r="R11" s="58">
        <f>SUM(F11:Q11)</f>
        <v>0</v>
      </c>
    </row>
    <row r="12" spans="1:18" x14ac:dyDescent="0.15">
      <c r="A12" s="24" t="s">
        <v>90</v>
      </c>
      <c r="B12" s="59">
        <f>SUM(B8:B11)</f>
        <v>0</v>
      </c>
      <c r="C12" s="435">
        <f t="shared" ref="C12:R12" si="3">SUM(C8:C11)</f>
        <v>0</v>
      </c>
      <c r="D12" s="436">
        <f>SUM(D8:D11)</f>
        <v>0</v>
      </c>
      <c r="E12" s="57">
        <f t="shared" si="3"/>
        <v>0</v>
      </c>
      <c r="F12" s="58">
        <f t="shared" si="3"/>
        <v>0</v>
      </c>
      <c r="G12" s="58">
        <f t="shared" si="3"/>
        <v>0</v>
      </c>
      <c r="H12" s="58">
        <f t="shared" si="3"/>
        <v>0</v>
      </c>
      <c r="I12" s="58">
        <f t="shared" si="3"/>
        <v>0</v>
      </c>
      <c r="J12" s="58">
        <f t="shared" si="3"/>
        <v>0</v>
      </c>
      <c r="K12" s="58">
        <f t="shared" si="3"/>
        <v>0</v>
      </c>
      <c r="L12" s="58">
        <f t="shared" si="3"/>
        <v>0</v>
      </c>
      <c r="M12" s="58">
        <f t="shared" si="3"/>
        <v>0</v>
      </c>
      <c r="N12" s="58">
        <f t="shared" si="3"/>
        <v>0</v>
      </c>
      <c r="O12" s="58">
        <f t="shared" si="3"/>
        <v>0</v>
      </c>
      <c r="P12" s="58">
        <f t="shared" si="3"/>
        <v>0</v>
      </c>
      <c r="Q12" s="58">
        <f t="shared" si="3"/>
        <v>0</v>
      </c>
      <c r="R12" s="58">
        <f t="shared" si="3"/>
        <v>0</v>
      </c>
    </row>
    <row r="13" spans="1:18" x14ac:dyDescent="0.15">
      <c r="A13" s="60"/>
      <c r="B13" s="60"/>
      <c r="C13" s="61"/>
      <c r="D13" s="62"/>
      <c r="E13" s="62"/>
      <c r="F13" s="62"/>
      <c r="G13" s="62"/>
      <c r="H13" s="62"/>
      <c r="I13" s="63"/>
      <c r="J13" s="63"/>
      <c r="K13" s="63"/>
      <c r="L13" s="63"/>
      <c r="M13" s="63"/>
      <c r="N13" s="63"/>
      <c r="O13" s="63"/>
      <c r="P13" s="63"/>
      <c r="Q13" s="63"/>
      <c r="R13" s="64"/>
    </row>
    <row r="14" spans="1:18" ht="40" thickBot="1" x14ac:dyDescent="0.2">
      <c r="A14" s="326" t="s">
        <v>91</v>
      </c>
      <c r="B14" s="326" t="s">
        <v>246</v>
      </c>
      <c r="C14" s="326" t="s">
        <v>114</v>
      </c>
      <c r="D14" s="326"/>
      <c r="E14" s="326" t="s">
        <v>287</v>
      </c>
      <c r="F14" s="326" t="str">
        <f>SalesForecastYear1!C23</f>
        <v xml:space="preserve"> Aug</v>
      </c>
      <c r="G14" s="326" t="str">
        <f>SalesForecastYear1!D23</f>
        <v>Sep</v>
      </c>
      <c r="H14" s="326" t="str">
        <f>SalesForecastYear1!E23</f>
        <v>Oct</v>
      </c>
      <c r="I14" s="326" t="str">
        <f>SalesForecastYear1!F23</f>
        <v>Nov</v>
      </c>
      <c r="J14" s="326" t="str">
        <f>SalesForecastYear1!G23</f>
        <v>Dec</v>
      </c>
      <c r="K14" s="326" t="str">
        <f>SalesForecastYear1!H23</f>
        <v>Jan</v>
      </c>
      <c r="L14" s="326" t="str">
        <f>SalesForecastYear1!I23</f>
        <v>Feb</v>
      </c>
      <c r="M14" s="326" t="str">
        <f>SalesForecastYear1!J23</f>
        <v>Mar</v>
      </c>
      <c r="N14" s="326" t="str">
        <f>SalesForecastYear1!K23</f>
        <v>Apr</v>
      </c>
      <c r="O14" s="326" t="str">
        <f>SalesForecastYear1!L23</f>
        <v>May</v>
      </c>
      <c r="P14" s="326" t="str">
        <f>SalesForecastYear1!M23</f>
        <v>Jun</v>
      </c>
      <c r="Q14" s="326" t="str">
        <f>SalesForecastYear1!N23</f>
        <v>Jul</v>
      </c>
      <c r="R14" s="326" t="str">
        <f>SalesForecastYear1!O23</f>
        <v>Annual Totals</v>
      </c>
    </row>
    <row r="15" spans="1:18" ht="13" thickTop="1" x14ac:dyDescent="0.15">
      <c r="A15" s="303" t="s">
        <v>92</v>
      </c>
      <c r="B15" s="304">
        <v>110111</v>
      </c>
      <c r="C15" s="307">
        <v>6.2E-2</v>
      </c>
      <c r="D15" s="308"/>
      <c r="E15" s="309">
        <f>(E$8+E$9+E$10)*$C$15</f>
        <v>0</v>
      </c>
      <c r="F15" s="305">
        <f t="shared" ref="F15:Q15" si="4">(F$8+F$9+F$10)*$C$15</f>
        <v>0</v>
      </c>
      <c r="G15" s="305">
        <f t="shared" si="4"/>
        <v>0</v>
      </c>
      <c r="H15" s="305">
        <f t="shared" si="4"/>
        <v>0</v>
      </c>
      <c r="I15" s="305">
        <f t="shared" si="4"/>
        <v>0</v>
      </c>
      <c r="J15" s="305">
        <f t="shared" si="4"/>
        <v>0</v>
      </c>
      <c r="K15" s="305">
        <f t="shared" si="4"/>
        <v>0</v>
      </c>
      <c r="L15" s="305">
        <f t="shared" si="4"/>
        <v>0</v>
      </c>
      <c r="M15" s="305">
        <f t="shared" si="4"/>
        <v>0</v>
      </c>
      <c r="N15" s="305">
        <f t="shared" si="4"/>
        <v>0</v>
      </c>
      <c r="O15" s="305">
        <f t="shared" si="4"/>
        <v>0</v>
      </c>
      <c r="P15" s="305">
        <f t="shared" si="4"/>
        <v>0</v>
      </c>
      <c r="Q15" s="305">
        <f t="shared" si="4"/>
        <v>0</v>
      </c>
      <c r="R15" s="306">
        <f>SUM(F15:Q15)</f>
        <v>0</v>
      </c>
    </row>
    <row r="16" spans="1:18" x14ac:dyDescent="0.15">
      <c r="A16" s="7" t="s">
        <v>93</v>
      </c>
      <c r="B16" s="135" t="s">
        <v>247</v>
      </c>
      <c r="C16" s="134">
        <v>1.4500000000000001E-2</v>
      </c>
      <c r="D16" s="65"/>
      <c r="E16" s="66">
        <f>(E$8+E$9+E$10)*$C$16</f>
        <v>0</v>
      </c>
      <c r="F16" s="133">
        <f>(F$8+F$9+F$10)*$C$16</f>
        <v>0</v>
      </c>
      <c r="G16" s="133">
        <f t="shared" ref="G16:Q16" si="5">(G$8+G$9+G$10)*$C$16</f>
        <v>0</v>
      </c>
      <c r="H16" s="133">
        <f t="shared" si="5"/>
        <v>0</v>
      </c>
      <c r="I16" s="133">
        <f t="shared" si="5"/>
        <v>0</v>
      </c>
      <c r="J16" s="133">
        <f t="shared" si="5"/>
        <v>0</v>
      </c>
      <c r="K16" s="133">
        <f t="shared" si="5"/>
        <v>0</v>
      </c>
      <c r="L16" s="133">
        <f t="shared" si="5"/>
        <v>0</v>
      </c>
      <c r="M16" s="133">
        <f t="shared" si="5"/>
        <v>0</v>
      </c>
      <c r="N16" s="133">
        <f t="shared" si="5"/>
        <v>0</v>
      </c>
      <c r="O16" s="133">
        <f t="shared" si="5"/>
        <v>0</v>
      </c>
      <c r="P16" s="133">
        <f t="shared" si="5"/>
        <v>0</v>
      </c>
      <c r="Q16" s="133">
        <f t="shared" si="5"/>
        <v>0</v>
      </c>
      <c r="R16" s="58">
        <f t="shared" ref="R16:R22" si="6">SUM(F16:Q16)</f>
        <v>0</v>
      </c>
    </row>
    <row r="17" spans="1:18" x14ac:dyDescent="0.15">
      <c r="A17" s="7" t="s">
        <v>94</v>
      </c>
      <c r="B17" s="136">
        <v>7000</v>
      </c>
      <c r="C17" s="134">
        <v>8.0000000000000002E-3</v>
      </c>
      <c r="D17" s="65"/>
      <c r="E17" s="66">
        <f>+$B$12*B17*C17/12</f>
        <v>0</v>
      </c>
      <c r="F17" s="133">
        <f t="shared" ref="F17:F22" si="7">E17</f>
        <v>0</v>
      </c>
      <c r="G17" s="133">
        <f t="shared" ref="G17:Q17" si="8">F17</f>
        <v>0</v>
      </c>
      <c r="H17" s="133">
        <f t="shared" si="8"/>
        <v>0</v>
      </c>
      <c r="I17" s="133">
        <f t="shared" si="8"/>
        <v>0</v>
      </c>
      <c r="J17" s="133">
        <f t="shared" si="8"/>
        <v>0</v>
      </c>
      <c r="K17" s="133">
        <f t="shared" si="8"/>
        <v>0</v>
      </c>
      <c r="L17" s="133">
        <f t="shared" si="8"/>
        <v>0</v>
      </c>
      <c r="M17" s="133">
        <f t="shared" si="8"/>
        <v>0</v>
      </c>
      <c r="N17" s="133">
        <f t="shared" si="8"/>
        <v>0</v>
      </c>
      <c r="O17" s="133">
        <f t="shared" si="8"/>
        <v>0</v>
      </c>
      <c r="P17" s="133">
        <f t="shared" si="8"/>
        <v>0</v>
      </c>
      <c r="Q17" s="133">
        <f t="shared" si="8"/>
        <v>0</v>
      </c>
      <c r="R17" s="58">
        <f t="shared" si="6"/>
        <v>0</v>
      </c>
    </row>
    <row r="18" spans="1:18" x14ac:dyDescent="0.15">
      <c r="A18" s="7" t="s">
        <v>95</v>
      </c>
      <c r="B18" s="136">
        <v>7000</v>
      </c>
      <c r="C18" s="134">
        <v>3.4500000000000003E-2</v>
      </c>
      <c r="D18" s="65"/>
      <c r="E18" s="66">
        <f>+$B$12*B18*C18/12</f>
        <v>0</v>
      </c>
      <c r="F18" s="133">
        <f t="shared" si="7"/>
        <v>0</v>
      </c>
      <c r="G18" s="133">
        <f t="shared" ref="G18:Q18" si="9">F18</f>
        <v>0</v>
      </c>
      <c r="H18" s="133">
        <f t="shared" si="9"/>
        <v>0</v>
      </c>
      <c r="I18" s="133">
        <f t="shared" si="9"/>
        <v>0</v>
      </c>
      <c r="J18" s="133">
        <f t="shared" si="9"/>
        <v>0</v>
      </c>
      <c r="K18" s="133">
        <f t="shared" si="9"/>
        <v>0</v>
      </c>
      <c r="L18" s="133">
        <f t="shared" si="9"/>
        <v>0</v>
      </c>
      <c r="M18" s="133">
        <f t="shared" si="9"/>
        <v>0</v>
      </c>
      <c r="N18" s="133">
        <f t="shared" si="9"/>
        <v>0</v>
      </c>
      <c r="O18" s="133">
        <f t="shared" si="9"/>
        <v>0</v>
      </c>
      <c r="P18" s="133">
        <f t="shared" si="9"/>
        <v>0</v>
      </c>
      <c r="Q18" s="133">
        <f t="shared" si="9"/>
        <v>0</v>
      </c>
      <c r="R18" s="58">
        <f t="shared" si="6"/>
        <v>0</v>
      </c>
    </row>
    <row r="19" spans="1:18" x14ac:dyDescent="0.15">
      <c r="A19" s="7" t="s">
        <v>96</v>
      </c>
      <c r="B19" s="135" t="s">
        <v>247</v>
      </c>
      <c r="C19" s="134">
        <v>0</v>
      </c>
      <c r="D19" s="65"/>
      <c r="E19" s="66">
        <f>($E$8+$E$9+$E$10)*C19</f>
        <v>0</v>
      </c>
      <c r="F19" s="133">
        <f t="shared" si="7"/>
        <v>0</v>
      </c>
      <c r="G19" s="133">
        <f t="shared" ref="G19:Q19" si="10">F19</f>
        <v>0</v>
      </c>
      <c r="H19" s="133">
        <f t="shared" si="10"/>
        <v>0</v>
      </c>
      <c r="I19" s="133">
        <f t="shared" si="10"/>
        <v>0</v>
      </c>
      <c r="J19" s="133">
        <f t="shared" si="10"/>
        <v>0</v>
      </c>
      <c r="K19" s="133">
        <f t="shared" si="10"/>
        <v>0</v>
      </c>
      <c r="L19" s="133">
        <f t="shared" si="10"/>
        <v>0</v>
      </c>
      <c r="M19" s="133">
        <f t="shared" si="10"/>
        <v>0</v>
      </c>
      <c r="N19" s="133">
        <f t="shared" si="10"/>
        <v>0</v>
      </c>
      <c r="O19" s="133">
        <f t="shared" si="10"/>
        <v>0</v>
      </c>
      <c r="P19" s="133">
        <f t="shared" si="10"/>
        <v>0</v>
      </c>
      <c r="Q19" s="133">
        <f t="shared" si="10"/>
        <v>0</v>
      </c>
      <c r="R19" s="58">
        <f t="shared" si="6"/>
        <v>0</v>
      </c>
    </row>
    <row r="20" spans="1:18" x14ac:dyDescent="0.15">
      <c r="A20" s="7" t="s">
        <v>97</v>
      </c>
      <c r="B20" s="135" t="s">
        <v>247</v>
      </c>
      <c r="C20" s="134">
        <v>0.13</v>
      </c>
      <c r="D20" s="67"/>
      <c r="E20" s="66">
        <f>($E$8+$E$9+$E$10)*C20</f>
        <v>0</v>
      </c>
      <c r="F20" s="133">
        <f t="shared" si="7"/>
        <v>0</v>
      </c>
      <c r="G20" s="133">
        <f t="shared" ref="G20:Q20" si="11">F20</f>
        <v>0</v>
      </c>
      <c r="H20" s="133">
        <f t="shared" si="11"/>
        <v>0</v>
      </c>
      <c r="I20" s="133">
        <f t="shared" si="11"/>
        <v>0</v>
      </c>
      <c r="J20" s="133">
        <f t="shared" si="11"/>
        <v>0</v>
      </c>
      <c r="K20" s="133">
        <f t="shared" si="11"/>
        <v>0</v>
      </c>
      <c r="L20" s="133">
        <f t="shared" si="11"/>
        <v>0</v>
      </c>
      <c r="M20" s="133">
        <f t="shared" si="11"/>
        <v>0</v>
      </c>
      <c r="N20" s="133">
        <f t="shared" si="11"/>
        <v>0</v>
      </c>
      <c r="O20" s="133">
        <f t="shared" si="11"/>
        <v>0</v>
      </c>
      <c r="P20" s="133">
        <f t="shared" si="11"/>
        <v>0</v>
      </c>
      <c r="Q20" s="133">
        <f t="shared" si="11"/>
        <v>0</v>
      </c>
      <c r="R20" s="58">
        <f t="shared" si="6"/>
        <v>0</v>
      </c>
    </row>
    <row r="21" spans="1:18" x14ac:dyDescent="0.15">
      <c r="A21" s="7" t="s">
        <v>98</v>
      </c>
      <c r="B21" s="135" t="s">
        <v>247</v>
      </c>
      <c r="C21" s="134">
        <v>0.1</v>
      </c>
      <c r="D21" s="67"/>
      <c r="E21" s="66">
        <f>($E$8+$E$9)*C21</f>
        <v>0</v>
      </c>
      <c r="F21" s="133">
        <f t="shared" si="7"/>
        <v>0</v>
      </c>
      <c r="G21" s="133">
        <f t="shared" ref="G21:Q21" si="12">F21</f>
        <v>0</v>
      </c>
      <c r="H21" s="133">
        <f t="shared" si="12"/>
        <v>0</v>
      </c>
      <c r="I21" s="133">
        <f t="shared" si="12"/>
        <v>0</v>
      </c>
      <c r="J21" s="133">
        <f t="shared" si="12"/>
        <v>0</v>
      </c>
      <c r="K21" s="133">
        <f t="shared" si="12"/>
        <v>0</v>
      </c>
      <c r="L21" s="133">
        <f t="shared" si="12"/>
        <v>0</v>
      </c>
      <c r="M21" s="133">
        <f t="shared" si="12"/>
        <v>0</v>
      </c>
      <c r="N21" s="133">
        <f t="shared" si="12"/>
        <v>0</v>
      </c>
      <c r="O21" s="133">
        <f t="shared" si="12"/>
        <v>0</v>
      </c>
      <c r="P21" s="133">
        <f t="shared" si="12"/>
        <v>0</v>
      </c>
      <c r="Q21" s="133">
        <f t="shared" si="12"/>
        <v>0</v>
      </c>
      <c r="R21" s="58">
        <f t="shared" si="6"/>
        <v>0</v>
      </c>
    </row>
    <row r="22" spans="1:18" x14ac:dyDescent="0.15">
      <c r="A22" s="7" t="s">
        <v>99</v>
      </c>
      <c r="B22" s="135" t="s">
        <v>247</v>
      </c>
      <c r="C22" s="134">
        <v>0</v>
      </c>
      <c r="D22" s="67"/>
      <c r="E22" s="66">
        <f>($E$8+$E$9+$E$10)*C22</f>
        <v>0</v>
      </c>
      <c r="F22" s="133">
        <f t="shared" si="7"/>
        <v>0</v>
      </c>
      <c r="G22" s="133">
        <f t="shared" ref="G22:Q22" si="13">F22</f>
        <v>0</v>
      </c>
      <c r="H22" s="133">
        <f t="shared" si="13"/>
        <v>0</v>
      </c>
      <c r="I22" s="133">
        <f t="shared" si="13"/>
        <v>0</v>
      </c>
      <c r="J22" s="133">
        <f t="shared" si="13"/>
        <v>0</v>
      </c>
      <c r="K22" s="133">
        <f t="shared" si="13"/>
        <v>0</v>
      </c>
      <c r="L22" s="133">
        <f t="shared" si="13"/>
        <v>0</v>
      </c>
      <c r="M22" s="133">
        <f t="shared" si="13"/>
        <v>0</v>
      </c>
      <c r="N22" s="133">
        <f t="shared" si="13"/>
        <v>0</v>
      </c>
      <c r="O22" s="133">
        <f t="shared" si="13"/>
        <v>0</v>
      </c>
      <c r="P22" s="133">
        <f t="shared" si="13"/>
        <v>0</v>
      </c>
      <c r="Q22" s="133">
        <f t="shared" si="13"/>
        <v>0</v>
      </c>
      <c r="R22" s="58">
        <f t="shared" si="6"/>
        <v>0</v>
      </c>
    </row>
    <row r="23" spans="1:18" x14ac:dyDescent="0.15">
      <c r="A23" s="24" t="s">
        <v>100</v>
      </c>
      <c r="B23" s="24"/>
      <c r="C23" s="68">
        <f>SUM(C15:C22)</f>
        <v>0.34899999999999998</v>
      </c>
      <c r="D23" s="7"/>
      <c r="E23" s="57">
        <f>SUM(E15:E22)</f>
        <v>0</v>
      </c>
      <c r="F23" s="57">
        <f>SUM(F15:F22)</f>
        <v>0</v>
      </c>
      <c r="G23" s="57">
        <f t="shared" ref="G23:R23" si="14">SUM(G15:G22)</f>
        <v>0</v>
      </c>
      <c r="H23" s="57">
        <f t="shared" si="14"/>
        <v>0</v>
      </c>
      <c r="I23" s="57">
        <f t="shared" si="14"/>
        <v>0</v>
      </c>
      <c r="J23" s="57">
        <f t="shared" si="14"/>
        <v>0</v>
      </c>
      <c r="K23" s="57">
        <f t="shared" si="14"/>
        <v>0</v>
      </c>
      <c r="L23" s="57">
        <f t="shared" si="14"/>
        <v>0</v>
      </c>
      <c r="M23" s="57">
        <f t="shared" si="14"/>
        <v>0</v>
      </c>
      <c r="N23" s="57">
        <f t="shared" si="14"/>
        <v>0</v>
      </c>
      <c r="O23" s="57">
        <f t="shared" si="14"/>
        <v>0</v>
      </c>
      <c r="P23" s="57">
        <f t="shared" si="14"/>
        <v>0</v>
      </c>
      <c r="Q23" s="57">
        <f t="shared" si="14"/>
        <v>0</v>
      </c>
      <c r="R23" s="57">
        <f t="shared" si="14"/>
        <v>0</v>
      </c>
    </row>
    <row r="24" spans="1:18" x14ac:dyDescent="0.15">
      <c r="A24" s="24"/>
      <c r="B24" s="24"/>
      <c r="C24" s="69"/>
      <c r="D24" s="7"/>
      <c r="E24" s="7"/>
      <c r="F24" s="7"/>
      <c r="G24" s="7"/>
      <c r="H24" s="7"/>
      <c r="I24" s="7"/>
      <c r="J24" s="7"/>
      <c r="K24" s="7"/>
      <c r="L24" s="7"/>
      <c r="M24" s="7"/>
      <c r="N24" s="7"/>
      <c r="O24" s="7"/>
      <c r="P24" s="7"/>
      <c r="Q24" s="7"/>
      <c r="R24" s="7"/>
    </row>
    <row r="25" spans="1:18" x14ac:dyDescent="0.15">
      <c r="A25" s="24" t="s">
        <v>101</v>
      </c>
      <c r="B25" s="24"/>
      <c r="C25" s="69"/>
      <c r="D25" s="7"/>
      <c r="E25" s="57">
        <f>E12+E23</f>
        <v>0</v>
      </c>
      <c r="F25" s="57">
        <f t="shared" ref="F25:Q25" si="15">F12+F23</f>
        <v>0</v>
      </c>
      <c r="G25" s="57">
        <f t="shared" si="15"/>
        <v>0</v>
      </c>
      <c r="H25" s="57">
        <f t="shared" si="15"/>
        <v>0</v>
      </c>
      <c r="I25" s="57">
        <f t="shared" si="15"/>
        <v>0</v>
      </c>
      <c r="J25" s="57">
        <f t="shared" si="15"/>
        <v>0</v>
      </c>
      <c r="K25" s="57">
        <f t="shared" si="15"/>
        <v>0</v>
      </c>
      <c r="L25" s="57">
        <f t="shared" si="15"/>
        <v>0</v>
      </c>
      <c r="M25" s="57">
        <f t="shared" si="15"/>
        <v>0</v>
      </c>
      <c r="N25" s="57">
        <f t="shared" si="15"/>
        <v>0</v>
      </c>
      <c r="O25" s="57">
        <f t="shared" si="15"/>
        <v>0</v>
      </c>
      <c r="P25" s="57">
        <f t="shared" si="15"/>
        <v>0</v>
      </c>
      <c r="Q25" s="57">
        <f t="shared" si="15"/>
        <v>0</v>
      </c>
      <c r="R25" s="34">
        <f>R12+R23</f>
        <v>0</v>
      </c>
    </row>
    <row r="29" spans="1:18" x14ac:dyDescent="0.15">
      <c r="A29" s="70"/>
      <c r="B29" s="70"/>
      <c r="C29" s="70"/>
    </row>
    <row r="30" spans="1:18" x14ac:dyDescent="0.15">
      <c r="A30" s="71"/>
      <c r="B30" s="72"/>
      <c r="C30" s="72"/>
    </row>
    <row r="31" spans="1:18" x14ac:dyDescent="0.15">
      <c r="A31" s="71"/>
      <c r="B31" s="73"/>
      <c r="C31" s="73"/>
    </row>
  </sheetData>
  <sheetProtection formatColumns="0" formatRows="0"/>
  <protectedRanges>
    <protectedRange sqref="E15:E22" name="Range2"/>
    <protectedRange sqref="E8:E12" name="Range1"/>
  </protectedRanges>
  <phoneticPr fontId="3" type="noConversion"/>
  <conditionalFormatting sqref="B8:D11">
    <cfRule type="containsBlanks" dxfId="112" priority="1" stopIfTrue="1">
      <formula>LEN(TRIM(B8))=0</formula>
    </cfRule>
  </conditionalFormatting>
  <conditionalFormatting sqref="F8:Q11">
    <cfRule type="containsBlanks" dxfId="111" priority="13" stopIfTrue="1">
      <formula>LEN(TRIM(F8))=0</formula>
    </cfRule>
  </conditionalFormatting>
  <conditionalFormatting sqref="F15:Q22">
    <cfRule type="containsBlanks" dxfId="110" priority="2">
      <formula>LEN(TRIM(F15))=0</formula>
    </cfRule>
  </conditionalFormatting>
  <printOptions horizontalCentered="1"/>
  <pageMargins left="0.25" right="0.25" top="0.75" bottom="0.75" header="0.3" footer="0.3"/>
  <pageSetup scale="61" orientation="landscape"/>
  <headerFooter scaleWithDoc="0">
    <oddHeader>&amp;C&amp;"Gill Sans MT,Regular"&amp;12Payroll Year 1</oddHeader>
    <oddFooter>&amp;L&amp;"Gill Sans MT,Regular"&amp;12&amp;F&amp;C&amp;"Gill Sans MT,Regular"&amp;12&amp;A&amp;R&amp;"Gill Sans MT,Regular"&amp;12&amp;D &amp;T</oddFooter>
  </headerFooter>
  <ignoredErrors>
    <ignoredError sqref="F8:Q11 F17:Q22 F15:Q16" unlockedFormula="1"/>
  </ignoredErrors>
  <legacy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8">
    <tabColor rgb="FFFFC95B"/>
    <pageSetUpPr fitToPage="1"/>
  </sheetPr>
  <dimension ref="A2:AC47"/>
  <sheetViews>
    <sheetView topLeftCell="A7" workbookViewId="0">
      <selection activeCell="F16" sqref="F16:F23"/>
    </sheetView>
  </sheetViews>
  <sheetFormatPr baseColWidth="10" defaultColWidth="9.1640625" defaultRowHeight="12" x14ac:dyDescent="0.15"/>
  <cols>
    <col min="1" max="1" width="7" style="74" customWidth="1"/>
    <col min="2" max="2" width="38" style="74" bestFit="1" customWidth="1"/>
    <col min="3" max="3" width="11.33203125" style="74" bestFit="1" customWidth="1"/>
    <col min="4" max="4" width="15.6640625" style="74" bestFit="1" customWidth="1"/>
    <col min="5" max="5" width="10.6640625" style="74" bestFit="1" customWidth="1"/>
    <col min="6" max="6" width="15.6640625" style="74" bestFit="1" customWidth="1"/>
    <col min="7" max="7" width="9.5" style="74" bestFit="1" customWidth="1"/>
    <col min="8" max="8" width="5.1640625" style="74" customWidth="1"/>
    <col min="9" max="9" width="5.5" style="74" customWidth="1"/>
    <col min="10" max="10" width="4.6640625" style="74" customWidth="1"/>
    <col min="11" max="11" width="8.1640625" style="74" customWidth="1"/>
    <col min="12" max="12" width="12.1640625" style="74" customWidth="1"/>
    <col min="13" max="13" width="9.5" style="74" customWidth="1"/>
    <col min="14" max="14" width="11.83203125" style="74" customWidth="1"/>
    <col min="15" max="15" width="11.5" style="74" customWidth="1"/>
    <col min="16" max="16" width="14.5" style="74" customWidth="1"/>
    <col min="17" max="17" width="8.6640625" style="74" customWidth="1"/>
    <col min="18" max="18" width="10.33203125" style="74" customWidth="1"/>
    <col min="19" max="19" width="7.5" style="74" customWidth="1"/>
    <col min="20" max="20" width="6.1640625" style="74" customWidth="1"/>
    <col min="21" max="21" width="5.1640625" style="74" customWidth="1"/>
    <col min="22" max="22" width="5.5" style="74" customWidth="1"/>
    <col min="23" max="23" width="4.6640625" style="74" customWidth="1"/>
    <col min="24" max="24" width="8.1640625" style="74" customWidth="1"/>
    <col min="25" max="25" width="12.1640625" style="74" customWidth="1"/>
    <col min="26" max="26" width="9.5" style="74" customWidth="1"/>
    <col min="27" max="27" width="11.83203125" style="74" customWidth="1"/>
    <col min="28" max="28" width="11.5" style="74" customWidth="1"/>
    <col min="29" max="29" width="14.5" style="74" customWidth="1"/>
    <col min="30" max="16384" width="9.1640625" style="74"/>
  </cols>
  <sheetData>
    <row r="2" spans="1:29" x14ac:dyDescent="0.15">
      <c r="B2" s="52" t="s">
        <v>217</v>
      </c>
      <c r="C2" s="53"/>
      <c r="D2" s="54"/>
      <c r="E2" s="53"/>
      <c r="F2" s="54"/>
      <c r="G2" s="53"/>
    </row>
    <row r="3" spans="1:29" x14ac:dyDescent="0.15">
      <c r="B3" s="54"/>
      <c r="C3" s="53"/>
      <c r="D3" s="54"/>
    </row>
    <row r="4" spans="1:29" x14ac:dyDescent="0.15">
      <c r="A4" s="75"/>
      <c r="B4" s="55" t="s">
        <v>119</v>
      </c>
      <c r="C4" s="716" t="s">
        <v>120</v>
      </c>
      <c r="D4" s="716"/>
      <c r="E4" s="75"/>
      <c r="F4" s="75"/>
      <c r="G4" s="75"/>
      <c r="H4" s="75"/>
      <c r="I4" s="75"/>
      <c r="J4" s="75"/>
      <c r="K4" s="75"/>
      <c r="L4" s="75"/>
      <c r="M4" s="75"/>
      <c r="N4" s="75"/>
      <c r="O4" s="75"/>
      <c r="P4" s="75"/>
      <c r="Q4" s="75"/>
      <c r="R4" s="75"/>
      <c r="S4" s="75"/>
      <c r="T4" s="75"/>
      <c r="U4" s="75"/>
      <c r="V4" s="75"/>
      <c r="W4" s="75"/>
      <c r="X4" s="75"/>
      <c r="Y4" s="75"/>
    </row>
    <row r="5" spans="1:29" x14ac:dyDescent="0.15">
      <c r="A5" s="5"/>
      <c r="B5" s="5" t="str">
        <f>IF(ISBLANK(Directions!C6), "Owner", Directions!C6)</f>
        <v>Owner</v>
      </c>
      <c r="C5" s="717" t="str">
        <f>IF(ISBLANK(Directions!D6), "Company 1", Directions!D6)</f>
        <v>Company 1</v>
      </c>
      <c r="D5" s="717"/>
      <c r="E5" s="18"/>
      <c r="F5" s="56"/>
      <c r="G5" s="18"/>
      <c r="H5" s="76"/>
      <c r="I5" s="76"/>
      <c r="J5" s="76"/>
      <c r="K5" s="76"/>
      <c r="L5" s="76"/>
      <c r="M5" s="76"/>
      <c r="N5" s="76"/>
      <c r="O5" s="76"/>
      <c r="P5" s="77"/>
      <c r="Q5" s="76"/>
      <c r="R5" s="76"/>
      <c r="S5" s="76"/>
      <c r="T5" s="76"/>
      <c r="U5" s="76"/>
      <c r="V5" s="76"/>
      <c r="W5" s="76"/>
      <c r="X5" s="76"/>
      <c r="Y5" s="76"/>
      <c r="Z5" s="76"/>
      <c r="AA5" s="76"/>
      <c r="AB5" s="76"/>
      <c r="AC5" s="77"/>
    </row>
    <row r="6" spans="1:29" x14ac:dyDescent="0.15">
      <c r="A6" s="5"/>
      <c r="H6" s="76"/>
      <c r="I6" s="76"/>
      <c r="J6" s="76"/>
      <c r="K6" s="76"/>
      <c r="L6" s="76"/>
      <c r="M6" s="76"/>
      <c r="N6" s="76"/>
      <c r="O6" s="76"/>
      <c r="P6" s="77"/>
      <c r="Q6" s="76"/>
      <c r="R6" s="76"/>
      <c r="S6" s="76"/>
      <c r="T6" s="76"/>
      <c r="U6" s="76"/>
      <c r="V6" s="76"/>
      <c r="W6" s="76"/>
      <c r="X6" s="76"/>
      <c r="Y6" s="76"/>
      <c r="Z6" s="76"/>
      <c r="AA6" s="76"/>
      <c r="AB6" s="76"/>
      <c r="AC6" s="77"/>
    </row>
    <row r="7" spans="1:29" x14ac:dyDescent="0.15">
      <c r="A7" s="5"/>
      <c r="H7" s="76"/>
      <c r="I7" s="76"/>
      <c r="J7" s="76"/>
      <c r="K7" s="76"/>
      <c r="L7" s="76"/>
      <c r="M7" s="76"/>
      <c r="N7" s="76"/>
      <c r="O7" s="76"/>
      <c r="P7" s="77"/>
      <c r="Q7" s="76"/>
      <c r="R7" s="76"/>
      <c r="S7" s="76"/>
      <c r="T7" s="76"/>
      <c r="U7" s="76"/>
      <c r="V7" s="76"/>
      <c r="W7" s="76"/>
      <c r="X7" s="76"/>
      <c r="Y7" s="76"/>
      <c r="Z7" s="76"/>
      <c r="AA7" s="76"/>
      <c r="AB7" s="76"/>
      <c r="AC7" s="77"/>
    </row>
    <row r="8" spans="1:29" ht="20" customHeight="1" thickBot="1" x14ac:dyDescent="0.2">
      <c r="A8" s="5"/>
      <c r="B8" s="326" t="s">
        <v>163</v>
      </c>
      <c r="C8" s="326" t="s">
        <v>197</v>
      </c>
      <c r="D8" s="326" t="s">
        <v>110</v>
      </c>
      <c r="E8" s="326" t="str">
        <f>IF(Directions!G3&gt;0,Directions!G3+1,"Second Year")</f>
        <v>Second Year</v>
      </c>
      <c r="F8" s="326" t="s">
        <v>111</v>
      </c>
      <c r="G8" s="326" t="str">
        <f>IF(Directions!G3&gt;0,Directions!G3+2,"Third Year")</f>
        <v>Third Year</v>
      </c>
      <c r="H8" s="76"/>
      <c r="I8" s="76"/>
      <c r="J8" s="76"/>
      <c r="K8" s="76"/>
      <c r="L8" s="76"/>
      <c r="M8" s="76"/>
      <c r="N8" s="76"/>
      <c r="O8" s="76"/>
      <c r="P8" s="77"/>
      <c r="Q8" s="76"/>
      <c r="R8" s="76"/>
      <c r="S8" s="76"/>
      <c r="T8" s="76"/>
      <c r="U8" s="76"/>
      <c r="V8" s="76"/>
      <c r="W8" s="76"/>
      <c r="X8" s="76"/>
      <c r="Y8" s="76"/>
      <c r="Z8" s="76"/>
      <c r="AA8" s="76"/>
      <c r="AB8" s="76"/>
      <c r="AC8" s="77"/>
    </row>
    <row r="9" spans="1:29" ht="13" thickTop="1" x14ac:dyDescent="0.15">
      <c r="A9" s="78"/>
      <c r="B9" s="303" t="s">
        <v>112</v>
      </c>
      <c r="C9" s="310">
        <f>'2a-PayrollYear1'!R8</f>
        <v>0</v>
      </c>
      <c r="D9" s="311">
        <v>0.06</v>
      </c>
      <c r="E9" s="157">
        <f>C9*D9+C9</f>
        <v>0</v>
      </c>
      <c r="F9" s="311">
        <v>0.06</v>
      </c>
      <c r="G9" s="157">
        <f>E9*F9+E9</f>
        <v>0</v>
      </c>
      <c r="H9" s="77"/>
      <c r="I9" s="77"/>
      <c r="J9" s="77"/>
      <c r="K9" s="77"/>
      <c r="L9" s="77"/>
      <c r="M9" s="77"/>
      <c r="N9" s="77"/>
      <c r="O9" s="77"/>
      <c r="P9" s="77"/>
      <c r="Q9" s="77"/>
      <c r="R9" s="77"/>
      <c r="S9" s="77"/>
      <c r="T9" s="77"/>
      <c r="U9" s="77"/>
      <c r="V9" s="77"/>
      <c r="W9" s="77"/>
      <c r="X9" s="77"/>
      <c r="Y9" s="77"/>
      <c r="Z9" s="77"/>
      <c r="AA9" s="77"/>
      <c r="AB9" s="77"/>
      <c r="AC9" s="77"/>
    </row>
    <row r="10" spans="1:29" x14ac:dyDescent="0.15">
      <c r="A10" s="9"/>
      <c r="B10" s="7" t="s">
        <v>87</v>
      </c>
      <c r="C10" s="217">
        <f>'2a-PayrollYear1'!R9</f>
        <v>0</v>
      </c>
      <c r="D10" s="132">
        <v>0.06</v>
      </c>
      <c r="E10" s="79">
        <f>C10*D10+C10</f>
        <v>0</v>
      </c>
      <c r="F10" s="132">
        <v>0.06</v>
      </c>
      <c r="G10" s="79">
        <f>E10*F10+E10</f>
        <v>0</v>
      </c>
      <c r="H10" s="43"/>
      <c r="I10" s="43"/>
      <c r="J10" s="43"/>
      <c r="K10" s="43"/>
      <c r="L10" s="43"/>
      <c r="M10" s="43"/>
      <c r="N10" s="43"/>
      <c r="O10" s="43"/>
      <c r="P10" s="17"/>
      <c r="Q10" s="5"/>
      <c r="R10" s="5"/>
      <c r="S10" s="5"/>
      <c r="T10" s="43"/>
      <c r="U10" s="43"/>
      <c r="V10" s="43"/>
      <c r="W10" s="43"/>
      <c r="X10" s="43"/>
      <c r="Y10" s="43"/>
      <c r="Z10" s="43"/>
      <c r="AA10" s="43"/>
      <c r="AB10" s="43"/>
      <c r="AC10" s="17"/>
    </row>
    <row r="11" spans="1:29" x14ac:dyDescent="0.15">
      <c r="A11" s="75"/>
      <c r="B11" s="7" t="s">
        <v>88</v>
      </c>
      <c r="C11" s="217">
        <f>'2a-PayrollYear1'!R10</f>
        <v>0</v>
      </c>
      <c r="D11" s="132">
        <v>0.06</v>
      </c>
      <c r="E11" s="79">
        <f>C11*D11+C11</f>
        <v>0</v>
      </c>
      <c r="F11" s="132">
        <v>0.06</v>
      </c>
      <c r="G11" s="79">
        <f>E11*F11+E11</f>
        <v>0</v>
      </c>
      <c r="H11" s="75"/>
      <c r="I11" s="75"/>
      <c r="J11" s="75"/>
      <c r="K11" s="75"/>
      <c r="L11" s="75"/>
      <c r="M11" s="75"/>
      <c r="N11" s="75"/>
      <c r="O11" s="75"/>
      <c r="P11" s="75"/>
      <c r="Q11" s="75"/>
      <c r="R11" s="75"/>
      <c r="S11" s="75"/>
      <c r="T11" s="75"/>
      <c r="U11" s="75"/>
      <c r="V11" s="75"/>
      <c r="W11" s="75"/>
      <c r="X11" s="75"/>
      <c r="Y11" s="75"/>
      <c r="Z11" s="75"/>
      <c r="AA11" s="75"/>
      <c r="AB11" s="75"/>
      <c r="AC11" s="75"/>
    </row>
    <row r="12" spans="1:29" x14ac:dyDescent="0.15">
      <c r="A12" s="5"/>
      <c r="B12" s="7" t="s">
        <v>89</v>
      </c>
      <c r="C12" s="217">
        <f>'2a-PayrollYear1'!R11</f>
        <v>0</v>
      </c>
      <c r="D12" s="132">
        <v>0</v>
      </c>
      <c r="E12" s="79">
        <f>C12*D12+C12</f>
        <v>0</v>
      </c>
      <c r="F12" s="132">
        <v>0</v>
      </c>
      <c r="G12" s="79">
        <f>E12*F12+E12</f>
        <v>0</v>
      </c>
      <c r="H12" s="76"/>
      <c r="I12" s="76"/>
      <c r="J12" s="76"/>
      <c r="K12" s="76"/>
      <c r="L12" s="76"/>
      <c r="M12" s="76"/>
      <c r="N12" s="76"/>
      <c r="O12" s="76"/>
      <c r="P12" s="77"/>
      <c r="Q12" s="76"/>
      <c r="R12" s="76"/>
      <c r="S12" s="76"/>
      <c r="T12" s="76"/>
      <c r="U12" s="76"/>
      <c r="V12" s="76"/>
      <c r="W12" s="76"/>
      <c r="X12" s="76"/>
      <c r="Y12" s="76"/>
      <c r="Z12" s="76"/>
      <c r="AA12" s="76"/>
      <c r="AB12" s="76"/>
      <c r="AC12" s="77"/>
    </row>
    <row r="13" spans="1:29" x14ac:dyDescent="0.15">
      <c r="A13" s="5"/>
      <c r="B13" s="24" t="s">
        <v>90</v>
      </c>
      <c r="C13" s="58">
        <f>SUM(C9:C12)</f>
        <v>0</v>
      </c>
      <c r="D13" s="80"/>
      <c r="E13" s="50">
        <f>SUM(E9:E12)</f>
        <v>0</v>
      </c>
      <c r="F13" s="80"/>
      <c r="G13" s="50">
        <f>SUM(G9:G12)</f>
        <v>0</v>
      </c>
      <c r="H13" s="76"/>
      <c r="I13" s="76"/>
      <c r="J13" s="76"/>
      <c r="K13" s="76"/>
      <c r="L13" s="76"/>
      <c r="M13" s="76"/>
      <c r="N13" s="76"/>
      <c r="O13" s="76"/>
      <c r="P13" s="77"/>
      <c r="Q13" s="76"/>
      <c r="R13" s="76"/>
      <c r="S13" s="76"/>
      <c r="T13" s="76"/>
      <c r="U13" s="76"/>
      <c r="V13" s="76"/>
      <c r="W13" s="76"/>
      <c r="X13" s="76"/>
      <c r="Y13" s="76"/>
      <c r="Z13" s="76"/>
      <c r="AA13" s="76"/>
      <c r="AB13" s="76"/>
      <c r="AC13" s="77"/>
    </row>
    <row r="14" spans="1:29" x14ac:dyDescent="0.15">
      <c r="A14" s="5"/>
      <c r="B14" s="24"/>
      <c r="C14" s="37"/>
      <c r="D14" s="80"/>
      <c r="E14" s="79"/>
      <c r="F14" s="80"/>
      <c r="G14" s="79"/>
      <c r="H14" s="76"/>
      <c r="I14" s="76"/>
      <c r="J14" s="76"/>
      <c r="K14" s="76"/>
      <c r="L14" s="76"/>
      <c r="M14" s="76"/>
      <c r="N14" s="76"/>
      <c r="O14" s="76"/>
      <c r="P14" s="77"/>
      <c r="Q14" s="76"/>
      <c r="R14" s="76"/>
      <c r="S14" s="76"/>
      <c r="T14" s="76"/>
      <c r="U14" s="76"/>
      <c r="V14" s="76"/>
      <c r="W14" s="76"/>
      <c r="X14" s="76"/>
      <c r="Y14" s="76"/>
      <c r="Z14" s="76"/>
      <c r="AA14" s="76"/>
      <c r="AB14" s="76"/>
      <c r="AC14" s="77"/>
    </row>
    <row r="15" spans="1:29" ht="14" thickBot="1" x14ac:dyDescent="0.2">
      <c r="A15" s="5"/>
      <c r="B15" s="326" t="s">
        <v>91</v>
      </c>
      <c r="C15" s="326"/>
      <c r="D15" s="327"/>
      <c r="E15" s="326"/>
      <c r="F15" s="327"/>
      <c r="G15" s="326"/>
      <c r="H15" s="76"/>
      <c r="I15" s="76"/>
      <c r="J15" s="76"/>
      <c r="K15" s="76"/>
      <c r="L15" s="76"/>
      <c r="M15" s="76"/>
      <c r="N15" s="76"/>
      <c r="O15" s="76"/>
      <c r="P15" s="77"/>
      <c r="Q15" s="76"/>
      <c r="R15" s="76"/>
      <c r="S15" s="76"/>
      <c r="T15" s="76"/>
      <c r="U15" s="76"/>
      <c r="V15" s="76"/>
      <c r="W15" s="76"/>
      <c r="X15" s="76"/>
      <c r="Y15" s="76"/>
      <c r="Z15" s="76"/>
      <c r="AA15" s="76"/>
      <c r="AB15" s="76"/>
      <c r="AC15" s="77"/>
    </row>
    <row r="16" spans="1:29" ht="13" thickTop="1" x14ac:dyDescent="0.15">
      <c r="A16" s="5"/>
      <c r="B16" s="303" t="s">
        <v>92</v>
      </c>
      <c r="C16" s="310">
        <f>'2a-PayrollYear1'!R15</f>
        <v>0</v>
      </c>
      <c r="D16" s="311">
        <v>0.06</v>
      </c>
      <c r="E16" s="157">
        <f t="shared" ref="E16:E23" si="0">C16*D16+C16</f>
        <v>0</v>
      </c>
      <c r="F16" s="311">
        <v>0.06</v>
      </c>
      <c r="G16" s="157">
        <f>E16*F16+E16</f>
        <v>0</v>
      </c>
      <c r="H16" s="76"/>
      <c r="I16" s="76"/>
      <c r="J16" s="76"/>
      <c r="K16" s="76"/>
      <c r="L16" s="76"/>
      <c r="M16" s="76"/>
      <c r="N16" s="76"/>
      <c r="O16" s="76"/>
      <c r="P16" s="77"/>
      <c r="Q16" s="76"/>
      <c r="R16" s="76"/>
      <c r="S16" s="76"/>
      <c r="T16" s="76"/>
      <c r="U16" s="76"/>
      <c r="V16" s="76"/>
      <c r="W16" s="76"/>
      <c r="X16" s="76"/>
      <c r="Y16" s="76"/>
      <c r="Z16" s="76"/>
      <c r="AA16" s="76"/>
      <c r="AB16" s="76"/>
      <c r="AC16" s="77"/>
    </row>
    <row r="17" spans="1:29" x14ac:dyDescent="0.15">
      <c r="A17" s="5"/>
      <c r="B17" s="7" t="s">
        <v>93</v>
      </c>
      <c r="C17" s="217">
        <f>'2a-PayrollYear1'!R16</f>
        <v>0</v>
      </c>
      <c r="D17" s="132">
        <v>0.06</v>
      </c>
      <c r="E17" s="79">
        <f t="shared" si="0"/>
        <v>0</v>
      </c>
      <c r="F17" s="132">
        <v>0.06</v>
      </c>
      <c r="G17" s="79">
        <f t="shared" ref="G17:G23" si="1">E17*F17+E17</f>
        <v>0</v>
      </c>
      <c r="H17" s="76"/>
      <c r="I17" s="76"/>
      <c r="J17" s="76"/>
      <c r="K17" s="76"/>
      <c r="L17" s="76"/>
      <c r="M17" s="76"/>
      <c r="N17" s="76"/>
      <c r="O17" s="76"/>
      <c r="P17" s="77"/>
      <c r="Q17" s="76"/>
      <c r="R17" s="76"/>
      <c r="S17" s="76"/>
      <c r="T17" s="76"/>
      <c r="U17" s="76"/>
      <c r="V17" s="76"/>
      <c r="W17" s="76"/>
      <c r="X17" s="76"/>
      <c r="Y17" s="76"/>
      <c r="Z17" s="76"/>
      <c r="AA17" s="76"/>
      <c r="AB17" s="76"/>
      <c r="AC17" s="77"/>
    </row>
    <row r="18" spans="1:29" x14ac:dyDescent="0.15">
      <c r="A18" s="5"/>
      <c r="B18" s="7" t="s">
        <v>94</v>
      </c>
      <c r="C18" s="217">
        <f>'2a-PayrollYear1'!R17</f>
        <v>0</v>
      </c>
      <c r="D18" s="132">
        <v>0.06</v>
      </c>
      <c r="E18" s="79">
        <f t="shared" si="0"/>
        <v>0</v>
      </c>
      <c r="F18" s="132">
        <v>0.06</v>
      </c>
      <c r="G18" s="79">
        <f t="shared" si="1"/>
        <v>0</v>
      </c>
      <c r="H18" s="76"/>
      <c r="I18" s="76"/>
      <c r="J18" s="76"/>
      <c r="K18" s="76"/>
      <c r="L18" s="76"/>
      <c r="M18" s="76"/>
      <c r="N18" s="76"/>
      <c r="O18" s="76"/>
      <c r="P18" s="77"/>
      <c r="Q18" s="76"/>
      <c r="R18" s="76"/>
      <c r="S18" s="76"/>
      <c r="T18" s="76"/>
      <c r="U18" s="76"/>
      <c r="V18" s="76"/>
      <c r="W18" s="76"/>
      <c r="X18" s="76"/>
      <c r="Y18" s="76"/>
      <c r="Z18" s="76"/>
      <c r="AA18" s="76"/>
      <c r="AB18" s="76"/>
      <c r="AC18" s="77"/>
    </row>
    <row r="19" spans="1:29" x14ac:dyDescent="0.15">
      <c r="A19" s="5"/>
      <c r="B19" s="7" t="s">
        <v>95</v>
      </c>
      <c r="C19" s="217">
        <f>'2a-PayrollYear1'!R18</f>
        <v>0</v>
      </c>
      <c r="D19" s="132">
        <v>0.06</v>
      </c>
      <c r="E19" s="79">
        <f t="shared" si="0"/>
        <v>0</v>
      </c>
      <c r="F19" s="132">
        <v>0.06</v>
      </c>
      <c r="G19" s="79">
        <f t="shared" si="1"/>
        <v>0</v>
      </c>
      <c r="H19" s="76"/>
      <c r="I19" s="76"/>
      <c r="J19" s="76"/>
      <c r="K19" s="76"/>
      <c r="L19" s="76"/>
      <c r="M19" s="76"/>
      <c r="N19" s="76"/>
      <c r="O19" s="76"/>
      <c r="P19" s="77"/>
      <c r="Q19" s="76"/>
      <c r="R19" s="76"/>
      <c r="S19" s="76"/>
      <c r="T19" s="76"/>
      <c r="U19" s="76"/>
      <c r="V19" s="76"/>
      <c r="W19" s="76"/>
      <c r="X19" s="76"/>
      <c r="Y19" s="76"/>
      <c r="Z19" s="76"/>
      <c r="AA19" s="76"/>
      <c r="AB19" s="76"/>
      <c r="AC19" s="77"/>
    </row>
    <row r="20" spans="1:29" x14ac:dyDescent="0.15">
      <c r="A20" s="78"/>
      <c r="B20" s="7" t="s">
        <v>96</v>
      </c>
      <c r="C20" s="217">
        <f>'2a-PayrollYear1'!R19</f>
        <v>0</v>
      </c>
      <c r="D20" s="132">
        <v>0</v>
      </c>
      <c r="E20" s="79">
        <f t="shared" si="0"/>
        <v>0</v>
      </c>
      <c r="F20" s="132">
        <v>0</v>
      </c>
      <c r="G20" s="79">
        <f t="shared" si="1"/>
        <v>0</v>
      </c>
      <c r="H20" s="82"/>
      <c r="I20" s="82"/>
      <c r="J20" s="82"/>
      <c r="K20" s="82"/>
      <c r="L20" s="82"/>
      <c r="M20" s="82"/>
      <c r="N20" s="82"/>
      <c r="O20" s="82"/>
      <c r="P20" s="83"/>
      <c r="Q20" s="82"/>
      <c r="R20" s="82"/>
      <c r="S20" s="82"/>
      <c r="T20" s="82"/>
      <c r="U20" s="82"/>
      <c r="V20" s="82"/>
      <c r="W20" s="82"/>
      <c r="X20" s="82"/>
      <c r="Y20" s="82"/>
      <c r="Z20" s="82"/>
      <c r="AA20" s="82"/>
      <c r="AB20" s="82"/>
      <c r="AC20" s="83"/>
    </row>
    <row r="21" spans="1:29" x14ac:dyDescent="0.15">
      <c r="A21" s="9"/>
      <c r="B21" s="7" t="s">
        <v>97</v>
      </c>
      <c r="C21" s="217">
        <f>'2a-PayrollYear1'!R20</f>
        <v>0</v>
      </c>
      <c r="D21" s="132">
        <v>0.03</v>
      </c>
      <c r="E21" s="79">
        <f t="shared" si="0"/>
        <v>0</v>
      </c>
      <c r="F21" s="132">
        <v>0.03</v>
      </c>
      <c r="G21" s="79">
        <f t="shared" si="1"/>
        <v>0</v>
      </c>
      <c r="H21" s="43"/>
      <c r="I21" s="43"/>
      <c r="J21" s="43"/>
      <c r="K21" s="43"/>
      <c r="L21" s="43"/>
      <c r="M21" s="43"/>
      <c r="N21" s="43"/>
      <c r="O21" s="43"/>
      <c r="P21" s="43"/>
      <c r="Q21" s="5"/>
      <c r="R21" s="5"/>
      <c r="S21" s="5"/>
      <c r="T21" s="43"/>
      <c r="U21" s="43"/>
      <c r="V21" s="43"/>
      <c r="W21" s="43"/>
      <c r="X21" s="43"/>
      <c r="Y21" s="43"/>
      <c r="Z21" s="43"/>
      <c r="AA21" s="43"/>
      <c r="AB21" s="43"/>
      <c r="AC21" s="43"/>
    </row>
    <row r="22" spans="1:29" x14ac:dyDescent="0.15">
      <c r="A22" s="78"/>
      <c r="B22" s="7" t="s">
        <v>98</v>
      </c>
      <c r="C22" s="217">
        <f>'2a-PayrollYear1'!R21</f>
        <v>0</v>
      </c>
      <c r="D22" s="132">
        <v>0.03</v>
      </c>
      <c r="E22" s="79">
        <f t="shared" si="0"/>
        <v>0</v>
      </c>
      <c r="F22" s="132">
        <v>0.03</v>
      </c>
      <c r="G22" s="79">
        <f t="shared" si="1"/>
        <v>0</v>
      </c>
      <c r="H22" s="84"/>
      <c r="I22" s="84"/>
      <c r="J22" s="84"/>
      <c r="K22" s="84"/>
      <c r="L22" s="84"/>
      <c r="M22" s="84"/>
      <c r="N22" s="84"/>
      <c r="O22" s="84"/>
      <c r="P22" s="85"/>
      <c r="Q22" s="84"/>
      <c r="R22" s="84"/>
      <c r="S22" s="84"/>
      <c r="T22" s="84"/>
      <c r="U22" s="84"/>
      <c r="V22" s="84"/>
      <c r="W22" s="84"/>
      <c r="X22" s="84"/>
      <c r="Y22" s="84"/>
      <c r="Z22" s="84"/>
      <c r="AA22" s="84"/>
      <c r="AB22" s="84"/>
      <c r="AC22" s="85"/>
    </row>
    <row r="23" spans="1:29" x14ac:dyDescent="0.15">
      <c r="B23" s="7" t="s">
        <v>99</v>
      </c>
      <c r="C23" s="217">
        <f>'2a-PayrollYear1'!R22</f>
        <v>0</v>
      </c>
      <c r="D23" s="132">
        <v>0</v>
      </c>
      <c r="E23" s="79">
        <f t="shared" si="0"/>
        <v>0</v>
      </c>
      <c r="F23" s="132">
        <v>0</v>
      </c>
      <c r="G23" s="79">
        <f t="shared" si="1"/>
        <v>0</v>
      </c>
    </row>
    <row r="24" spans="1:29" x14ac:dyDescent="0.15">
      <c r="B24" s="24" t="s">
        <v>100</v>
      </c>
      <c r="C24" s="57">
        <f>SUM(C16:C23)</f>
        <v>0</v>
      </c>
      <c r="D24" s="80"/>
      <c r="E24" s="50">
        <f>SUM(E16:E23)</f>
        <v>0</v>
      </c>
      <c r="F24" s="80"/>
      <c r="G24" s="50">
        <f>SUM(G16:G23)</f>
        <v>0</v>
      </c>
    </row>
    <row r="25" spans="1:29" x14ac:dyDescent="0.15">
      <c r="A25" s="75"/>
      <c r="B25" s="24"/>
      <c r="C25" s="7"/>
      <c r="D25" s="80"/>
      <c r="E25" s="79"/>
      <c r="F25" s="80"/>
      <c r="G25" s="79"/>
      <c r="H25" s="75"/>
      <c r="I25" s="75"/>
      <c r="J25" s="75"/>
      <c r="K25" s="75"/>
      <c r="L25" s="75"/>
      <c r="M25" s="75"/>
      <c r="N25" s="75"/>
      <c r="O25" s="75"/>
      <c r="P25" s="75"/>
    </row>
    <row r="26" spans="1:29" x14ac:dyDescent="0.15">
      <c r="A26" s="5"/>
      <c r="B26" s="24" t="s">
        <v>101</v>
      </c>
      <c r="C26" s="34">
        <f>SUM(C13+C24)</f>
        <v>0</v>
      </c>
      <c r="D26" s="80"/>
      <c r="E26" s="86">
        <f>SUM(E13+E24)</f>
        <v>0</v>
      </c>
      <c r="F26" s="80"/>
      <c r="G26" s="86">
        <f>SUM(G13+G24)</f>
        <v>0</v>
      </c>
      <c r="H26" s="76"/>
      <c r="I26" s="76"/>
      <c r="J26" s="76"/>
      <c r="K26" s="76"/>
      <c r="L26" s="76"/>
      <c r="M26" s="76"/>
      <c r="N26" s="76"/>
      <c r="O26" s="76"/>
      <c r="P26" s="77"/>
    </row>
    <row r="27" spans="1:29" x14ac:dyDescent="0.15">
      <c r="A27" s="5"/>
      <c r="D27" s="87"/>
      <c r="E27" s="88"/>
      <c r="F27" s="87"/>
      <c r="G27" s="88"/>
      <c r="H27" s="76"/>
      <c r="I27" s="76"/>
      <c r="J27" s="76"/>
      <c r="K27" s="76"/>
      <c r="L27" s="76"/>
      <c r="M27" s="76"/>
      <c r="N27" s="76"/>
      <c r="O27" s="76"/>
      <c r="P27" s="77"/>
    </row>
    <row r="28" spans="1:29" x14ac:dyDescent="0.15">
      <c r="A28" s="5"/>
      <c r="D28" s="87"/>
      <c r="E28" s="88"/>
      <c r="F28" s="87"/>
      <c r="G28" s="88"/>
      <c r="H28" s="76"/>
      <c r="I28" s="76"/>
      <c r="J28" s="76"/>
      <c r="K28" s="76"/>
      <c r="L28" s="76"/>
      <c r="M28" s="76"/>
      <c r="N28" s="76"/>
      <c r="O28" s="76"/>
      <c r="P28" s="77"/>
    </row>
    <row r="29" spans="1:29" x14ac:dyDescent="0.15">
      <c r="A29" s="5"/>
      <c r="B29" s="89"/>
      <c r="C29" s="89"/>
      <c r="D29" s="87"/>
      <c r="E29" s="88"/>
      <c r="F29" s="87"/>
      <c r="G29" s="88"/>
      <c r="H29" s="76"/>
      <c r="I29" s="76"/>
      <c r="J29" s="76"/>
      <c r="K29" s="76"/>
      <c r="L29" s="76"/>
      <c r="M29" s="76"/>
      <c r="N29" s="76"/>
      <c r="O29" s="76"/>
      <c r="P29" s="77"/>
    </row>
    <row r="30" spans="1:29" x14ac:dyDescent="0.15">
      <c r="A30" s="78"/>
      <c r="B30" s="90"/>
      <c r="C30" s="76"/>
      <c r="D30" s="87"/>
      <c r="E30" s="88"/>
      <c r="F30" s="87"/>
      <c r="G30" s="88"/>
      <c r="H30" s="77"/>
      <c r="I30" s="77"/>
      <c r="J30" s="77"/>
      <c r="K30" s="77"/>
      <c r="L30" s="77"/>
      <c r="M30" s="77"/>
      <c r="N30" s="77"/>
      <c r="O30" s="77"/>
      <c r="P30" s="77"/>
    </row>
    <row r="31" spans="1:29" x14ac:dyDescent="0.15">
      <c r="A31" s="9"/>
      <c r="B31" s="90"/>
      <c r="C31" s="76"/>
      <c r="D31" s="87"/>
      <c r="E31" s="88"/>
      <c r="F31" s="87"/>
      <c r="G31" s="88"/>
      <c r="H31" s="43"/>
      <c r="I31" s="43"/>
      <c r="J31" s="43"/>
      <c r="K31" s="43"/>
      <c r="L31" s="43"/>
      <c r="M31" s="43"/>
      <c r="N31" s="43"/>
      <c r="O31" s="43"/>
      <c r="P31" s="17"/>
    </row>
    <row r="32" spans="1:29" x14ac:dyDescent="0.15">
      <c r="A32" s="75"/>
      <c r="B32" s="90"/>
      <c r="C32" s="76"/>
      <c r="D32" s="87"/>
      <c r="E32" s="88"/>
      <c r="F32" s="87"/>
      <c r="G32" s="88"/>
      <c r="H32" s="75"/>
      <c r="I32" s="75"/>
      <c r="J32" s="75"/>
      <c r="K32" s="75"/>
      <c r="L32" s="75"/>
      <c r="M32" s="75"/>
      <c r="N32" s="75"/>
      <c r="O32" s="75"/>
      <c r="P32" s="75"/>
    </row>
    <row r="33" spans="1:16" x14ac:dyDescent="0.15">
      <c r="A33" s="5"/>
      <c r="B33" s="90"/>
      <c r="C33" s="76"/>
      <c r="D33" s="87"/>
      <c r="E33" s="88"/>
      <c r="F33" s="87"/>
      <c r="G33" s="88"/>
      <c r="H33" s="76"/>
      <c r="I33" s="76"/>
      <c r="J33" s="76"/>
      <c r="K33" s="76"/>
      <c r="L33" s="76"/>
      <c r="M33" s="76"/>
      <c r="N33" s="76"/>
      <c r="O33" s="76"/>
      <c r="P33" s="77"/>
    </row>
    <row r="34" spans="1:16" x14ac:dyDescent="0.15">
      <c r="A34" s="5"/>
      <c r="B34" s="78"/>
      <c r="C34" s="91"/>
      <c r="D34" s="70"/>
      <c r="E34" s="83"/>
      <c r="F34" s="70"/>
      <c r="G34" s="83"/>
      <c r="H34" s="76"/>
      <c r="I34" s="76"/>
      <c r="J34" s="76"/>
      <c r="K34" s="76"/>
      <c r="L34" s="76"/>
      <c r="M34" s="76"/>
      <c r="N34" s="76"/>
      <c r="O34" s="76"/>
      <c r="P34" s="77"/>
    </row>
    <row r="35" spans="1:16" x14ac:dyDescent="0.15">
      <c r="A35" s="5"/>
      <c r="B35" s="9"/>
      <c r="C35" s="92"/>
      <c r="D35" s="17"/>
      <c r="E35" s="5"/>
      <c r="F35" s="5"/>
      <c r="G35" s="43"/>
      <c r="H35" s="76"/>
      <c r="I35" s="76"/>
      <c r="J35" s="76"/>
      <c r="K35" s="76"/>
      <c r="L35" s="76"/>
      <c r="M35" s="76"/>
      <c r="N35" s="76"/>
      <c r="O35" s="76"/>
      <c r="P35" s="77"/>
    </row>
    <row r="36" spans="1:16" x14ac:dyDescent="0.15">
      <c r="A36" s="5"/>
      <c r="B36" s="78"/>
      <c r="C36" s="93"/>
      <c r="D36" s="75"/>
      <c r="E36" s="75"/>
      <c r="F36" s="75"/>
      <c r="G36" s="75"/>
      <c r="H36" s="76"/>
      <c r="I36" s="76"/>
      <c r="J36" s="76"/>
      <c r="K36" s="76"/>
      <c r="L36" s="76"/>
      <c r="M36" s="76"/>
      <c r="N36" s="76"/>
      <c r="O36" s="76"/>
      <c r="P36" s="77"/>
    </row>
    <row r="37" spans="1:16" x14ac:dyDescent="0.15">
      <c r="A37" s="5"/>
      <c r="B37" s="5"/>
      <c r="C37" s="94"/>
      <c r="D37" s="77"/>
      <c r="E37" s="76"/>
      <c r="F37" s="76"/>
      <c r="G37" s="76"/>
      <c r="H37" s="76"/>
      <c r="I37" s="76"/>
      <c r="J37" s="76"/>
      <c r="K37" s="76"/>
      <c r="L37" s="76"/>
      <c r="M37" s="76"/>
      <c r="N37" s="76"/>
      <c r="O37" s="76"/>
      <c r="P37" s="77"/>
    </row>
    <row r="38" spans="1:16" x14ac:dyDescent="0.15">
      <c r="A38" s="5"/>
      <c r="B38" s="5"/>
      <c r="C38" s="94"/>
      <c r="D38" s="77"/>
      <c r="E38" s="76"/>
      <c r="F38" s="76"/>
      <c r="G38" s="76"/>
      <c r="H38" s="76"/>
      <c r="I38" s="76"/>
      <c r="J38" s="76"/>
      <c r="K38" s="76"/>
      <c r="L38" s="76"/>
      <c r="M38" s="76"/>
      <c r="N38" s="76"/>
      <c r="O38" s="76"/>
      <c r="P38" s="77"/>
    </row>
    <row r="39" spans="1:16" x14ac:dyDescent="0.15">
      <c r="A39" s="5"/>
      <c r="B39" s="5"/>
      <c r="C39" s="94"/>
      <c r="D39" s="77"/>
      <c r="E39" s="76"/>
      <c r="F39" s="76"/>
      <c r="G39" s="76"/>
      <c r="H39" s="76"/>
      <c r="I39" s="76"/>
      <c r="J39" s="76"/>
      <c r="K39" s="76"/>
      <c r="L39" s="76"/>
      <c r="M39" s="76"/>
      <c r="N39" s="76"/>
      <c r="O39" s="76"/>
      <c r="P39" s="77"/>
    </row>
    <row r="40" spans="1:16" x14ac:dyDescent="0.15">
      <c r="A40" s="5"/>
      <c r="B40" s="5"/>
      <c r="C40" s="94"/>
      <c r="D40" s="77"/>
      <c r="E40" s="76"/>
      <c r="F40" s="76"/>
      <c r="G40" s="76"/>
      <c r="H40" s="76"/>
      <c r="I40" s="76"/>
      <c r="J40" s="76"/>
      <c r="K40" s="76"/>
      <c r="L40" s="76"/>
      <c r="M40" s="76"/>
      <c r="N40" s="76"/>
      <c r="O40" s="76"/>
      <c r="P40" s="77"/>
    </row>
    <row r="41" spans="1:16" x14ac:dyDescent="0.15">
      <c r="A41" s="78"/>
      <c r="B41" s="5"/>
      <c r="C41" s="94"/>
      <c r="D41" s="77"/>
      <c r="E41" s="76"/>
      <c r="F41" s="76"/>
      <c r="G41" s="76"/>
      <c r="H41" s="82"/>
      <c r="I41" s="82"/>
      <c r="J41" s="82"/>
      <c r="K41" s="82"/>
      <c r="L41" s="82"/>
      <c r="M41" s="82"/>
      <c r="N41" s="82"/>
      <c r="O41" s="82"/>
      <c r="P41" s="83"/>
    </row>
    <row r="42" spans="1:16" x14ac:dyDescent="0.15">
      <c r="A42" s="9"/>
      <c r="B42" s="5"/>
      <c r="C42" s="94"/>
      <c r="D42" s="77"/>
      <c r="E42" s="76"/>
      <c r="F42" s="76"/>
      <c r="G42" s="76"/>
      <c r="H42" s="43"/>
      <c r="I42" s="43"/>
      <c r="J42" s="43"/>
      <c r="K42" s="43"/>
      <c r="L42" s="43"/>
      <c r="M42" s="43"/>
      <c r="N42" s="43"/>
      <c r="O42" s="43"/>
      <c r="P42" s="43"/>
    </row>
    <row r="43" spans="1:16" x14ac:dyDescent="0.15">
      <c r="A43" s="78"/>
      <c r="B43" s="5"/>
      <c r="C43" s="94"/>
      <c r="D43" s="77"/>
      <c r="E43" s="76"/>
      <c r="F43" s="76"/>
      <c r="G43" s="76"/>
      <c r="H43" s="84"/>
      <c r="I43" s="84"/>
      <c r="J43" s="84"/>
      <c r="K43" s="84"/>
      <c r="L43" s="84"/>
      <c r="M43" s="84"/>
      <c r="N43" s="84"/>
      <c r="O43" s="84"/>
      <c r="P43" s="85"/>
    </row>
    <row r="44" spans="1:16" x14ac:dyDescent="0.15">
      <c r="B44" s="5"/>
      <c r="C44" s="94"/>
      <c r="D44" s="77"/>
      <c r="E44" s="76"/>
      <c r="F44" s="76"/>
      <c r="G44" s="76"/>
    </row>
    <row r="45" spans="1:16" x14ac:dyDescent="0.15">
      <c r="B45" s="78"/>
      <c r="C45" s="95"/>
      <c r="D45" s="83"/>
      <c r="E45" s="82"/>
      <c r="F45" s="82"/>
      <c r="G45" s="82"/>
    </row>
    <row r="46" spans="1:16" x14ac:dyDescent="0.15">
      <c r="B46" s="9"/>
      <c r="C46" s="92"/>
      <c r="D46" s="43"/>
      <c r="E46" s="5"/>
      <c r="F46" s="5"/>
      <c r="G46" s="43"/>
    </row>
    <row r="47" spans="1:16" x14ac:dyDescent="0.15">
      <c r="B47" s="78"/>
      <c r="C47" s="96"/>
      <c r="D47" s="85"/>
      <c r="E47" s="84"/>
      <c r="F47" s="84"/>
      <c r="G47" s="84"/>
    </row>
  </sheetData>
  <sheetProtection password="CC3D" sheet="1" objects="1" scenarios="1" formatColumns="0" formatRows="0"/>
  <mergeCells count="2">
    <mergeCell ref="C4:D4"/>
    <mergeCell ref="C5:D5"/>
  </mergeCells>
  <phoneticPr fontId="3" type="noConversion"/>
  <pageMargins left="0.7" right="0.7" top="0.75" bottom="0.75" header="0.3" footer="0.3"/>
  <pageSetup orientation="landscape"/>
  <headerFooter scaleWithDoc="0">
    <oddHeader>&amp;C&amp;"Gill Sans MT,Regular"&amp;12Payroll Years 1-3</oddHeader>
    <oddFooter>&amp;L&amp;F&amp;C&amp;A&amp;R&amp;D &amp;T</oddFooter>
  </headerFooter>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
  <sheetViews>
    <sheetView topLeftCell="A19" zoomScale="142" zoomScaleNormal="142" workbookViewId="0">
      <selection activeCell="M12" sqref="M12"/>
    </sheetView>
  </sheetViews>
  <sheetFormatPr baseColWidth="10" defaultColWidth="8.83203125" defaultRowHeight="15" x14ac:dyDescent="0.2"/>
  <sheetData/>
  <pageMargins left="0.7" right="0.7" top="0.75" bottom="0.75" header="0.3" footer="0.3"/>
  <pageSetup scale="98"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CB4CB-C148-46AB-9A15-F58EBC6D2AAA}">
  <sheetPr>
    <tabColor rgb="FFFFC95B"/>
    <pageSetUpPr fitToPage="1"/>
  </sheetPr>
  <dimension ref="B2:L53"/>
  <sheetViews>
    <sheetView tabSelected="1" zoomScale="98" zoomScaleNormal="98" zoomScalePageLayoutView="60" workbookViewId="0">
      <selection activeCell="M21" sqref="M21"/>
    </sheetView>
  </sheetViews>
  <sheetFormatPr baseColWidth="10" defaultColWidth="8.83203125" defaultRowHeight="13" x14ac:dyDescent="0.15"/>
  <cols>
    <col min="1" max="1" width="5.1640625" style="366" customWidth="1"/>
    <col min="2" max="2" width="35" style="366" bestFit="1" customWidth="1"/>
    <col min="3" max="3" width="20.6640625" style="366" customWidth="1"/>
    <col min="4" max="4" width="21.5" style="366" bestFit="1" customWidth="1"/>
    <col min="5" max="5" width="11.1640625" style="366" bestFit="1" customWidth="1"/>
    <col min="6" max="6" width="22.33203125" style="366" customWidth="1"/>
    <col min="7" max="7" width="19.6640625" style="366" bestFit="1" customWidth="1"/>
    <col min="8" max="8" width="16.5" style="366" customWidth="1"/>
    <col min="9" max="16384" width="8.83203125" style="366"/>
  </cols>
  <sheetData>
    <row r="2" spans="2:7" x14ac:dyDescent="0.15">
      <c r="B2" s="707" t="s">
        <v>201</v>
      </c>
      <c r="C2" s="707"/>
      <c r="D2" s="707"/>
    </row>
    <row r="3" spans="2:7" x14ac:dyDescent="0.15">
      <c r="B3" s="367"/>
      <c r="C3" s="367"/>
    </row>
    <row r="4" spans="2:7" ht="18" customHeight="1" x14ac:dyDescent="0.15">
      <c r="B4" s="368" t="s">
        <v>119</v>
      </c>
      <c r="C4" s="369" t="s">
        <v>120</v>
      </c>
    </row>
    <row r="5" spans="2:7" x14ac:dyDescent="0.15">
      <c r="B5" s="370" t="str">
        <f>IF(ISBLANK([2]Directions!C6), "Owner", [2]Directions!C6)</f>
        <v>Owner</v>
      </c>
      <c r="C5" s="366" t="str">
        <f>IF(ISBLANK([2]Directions!D6), "Company 1", [2]Directions!D6)</f>
        <v>Company 1</v>
      </c>
    </row>
    <row r="6" spans="2:7" x14ac:dyDescent="0.15">
      <c r="D6" s="370"/>
      <c r="E6" s="370"/>
      <c r="F6" s="370"/>
      <c r="G6" s="370"/>
    </row>
    <row r="7" spans="2:7" ht="17.25" customHeight="1" thickBot="1" x14ac:dyDescent="0.2">
      <c r="B7" s="371" t="s">
        <v>33</v>
      </c>
      <c r="C7" s="371" t="s">
        <v>1</v>
      </c>
      <c r="D7" s="371" t="s">
        <v>147</v>
      </c>
      <c r="E7" s="687" t="s">
        <v>32</v>
      </c>
      <c r="F7" s="687"/>
      <c r="G7" s="372"/>
    </row>
    <row r="8" spans="2:7" ht="14" thickTop="1" x14ac:dyDescent="0.15">
      <c r="B8" s="373"/>
      <c r="C8" s="374"/>
      <c r="D8" s="374"/>
      <c r="E8" s="688"/>
      <c r="F8" s="689"/>
      <c r="G8" s="375"/>
    </row>
    <row r="9" spans="2:7" x14ac:dyDescent="0.15">
      <c r="B9" s="376" t="s">
        <v>34</v>
      </c>
      <c r="C9" s="377"/>
      <c r="D9" s="551" t="s">
        <v>334</v>
      </c>
      <c r="E9" s="690"/>
      <c r="F9" s="691"/>
      <c r="G9" s="375"/>
    </row>
    <row r="10" spans="2:7" x14ac:dyDescent="0.15">
      <c r="B10" s="376" t="s">
        <v>331</v>
      </c>
      <c r="C10" s="378"/>
      <c r="D10" s="379">
        <v>20</v>
      </c>
      <c r="E10" s="718"/>
      <c r="F10" s="719"/>
      <c r="G10" s="548"/>
    </row>
    <row r="11" spans="2:7" x14ac:dyDescent="0.15">
      <c r="B11" s="376" t="s">
        <v>35</v>
      </c>
      <c r="C11" s="440"/>
      <c r="D11" s="379">
        <v>7</v>
      </c>
      <c r="E11" s="718"/>
      <c r="F11" s="719"/>
      <c r="G11" s="548"/>
    </row>
    <row r="12" spans="2:7" x14ac:dyDescent="0.15">
      <c r="B12" s="376" t="s">
        <v>2</v>
      </c>
      <c r="C12" s="440"/>
      <c r="D12" s="379">
        <v>7</v>
      </c>
      <c r="E12" s="718"/>
      <c r="F12" s="719"/>
      <c r="G12" s="548"/>
    </row>
    <row r="13" spans="2:7" x14ac:dyDescent="0.15">
      <c r="B13" s="376" t="s">
        <v>36</v>
      </c>
      <c r="C13" s="440"/>
      <c r="D13" s="379">
        <v>5</v>
      </c>
      <c r="E13" s="718"/>
      <c r="F13" s="719"/>
      <c r="G13" s="548"/>
    </row>
    <row r="14" spans="2:7" x14ac:dyDescent="0.15">
      <c r="B14" s="376" t="s">
        <v>3</v>
      </c>
      <c r="C14" s="440"/>
      <c r="D14" s="379">
        <v>5</v>
      </c>
      <c r="E14" s="718"/>
      <c r="F14" s="719"/>
      <c r="G14" s="548"/>
    </row>
    <row r="15" spans="2:7" x14ac:dyDescent="0.15">
      <c r="B15" s="376" t="s">
        <v>16</v>
      </c>
      <c r="C15" s="440"/>
      <c r="D15" s="379">
        <v>5</v>
      </c>
      <c r="E15" s="718"/>
      <c r="F15" s="719"/>
      <c r="G15" s="548"/>
    </row>
    <row r="16" spans="2:7" x14ac:dyDescent="0.15">
      <c r="B16" s="381" t="s">
        <v>38</v>
      </c>
      <c r="C16" s="550">
        <f>SUM(C9:C15)</f>
        <v>0</v>
      </c>
      <c r="D16" s="549"/>
      <c r="E16" s="720"/>
      <c r="F16" s="719"/>
      <c r="G16" s="548"/>
    </row>
    <row r="17" spans="2:7" x14ac:dyDescent="0.15">
      <c r="B17" s="698"/>
      <c r="C17" s="699"/>
      <c r="D17" s="699"/>
      <c r="E17" s="699"/>
      <c r="F17" s="700"/>
      <c r="G17" s="384"/>
    </row>
    <row r="18" spans="2:7" ht="14" thickBot="1" x14ac:dyDescent="0.2">
      <c r="B18" s="385" t="s">
        <v>39</v>
      </c>
      <c r="C18" s="547" t="s">
        <v>1</v>
      </c>
      <c r="D18" s="694" t="s">
        <v>32</v>
      </c>
      <c r="E18" s="695"/>
      <c r="F18" s="696"/>
    </row>
    <row r="19" spans="2:7" ht="14" thickTop="1" x14ac:dyDescent="0.15">
      <c r="B19" s="387" t="s">
        <v>40</v>
      </c>
      <c r="C19" s="388"/>
      <c r="D19" s="701"/>
      <c r="E19" s="702"/>
      <c r="F19" s="703"/>
    </row>
    <row r="20" spans="2:7" x14ac:dyDescent="0.15">
      <c r="B20" s="381" t="s">
        <v>41</v>
      </c>
      <c r="C20" s="378"/>
      <c r="D20" s="684"/>
      <c r="E20" s="685"/>
      <c r="F20" s="686"/>
    </row>
    <row r="21" spans="2:7" x14ac:dyDescent="0.15">
      <c r="B21" s="381" t="s">
        <v>4</v>
      </c>
      <c r="C21" s="378"/>
      <c r="D21" s="684"/>
      <c r="E21" s="685"/>
      <c r="F21" s="686"/>
    </row>
    <row r="22" spans="2:7" x14ac:dyDescent="0.15">
      <c r="B22" s="381" t="s">
        <v>42</v>
      </c>
      <c r="C22" s="378"/>
      <c r="D22" s="684"/>
      <c r="E22" s="685"/>
      <c r="F22" s="686"/>
    </row>
    <row r="23" spans="2:7" x14ac:dyDescent="0.15">
      <c r="B23" s="381" t="s">
        <v>43</v>
      </c>
      <c r="C23" s="378"/>
      <c r="D23" s="684"/>
      <c r="E23" s="685"/>
      <c r="F23" s="686"/>
    </row>
    <row r="24" spans="2:7" x14ac:dyDescent="0.15">
      <c r="B24" s="381" t="s">
        <v>44</v>
      </c>
      <c r="C24" s="378"/>
      <c r="D24" s="684"/>
      <c r="E24" s="685"/>
      <c r="F24" s="686"/>
    </row>
    <row r="25" spans="2:7" x14ac:dyDescent="0.15">
      <c r="B25" s="381" t="s">
        <v>5</v>
      </c>
      <c r="C25" s="378"/>
      <c r="D25" s="684"/>
      <c r="E25" s="685"/>
      <c r="F25" s="686"/>
      <c r="G25" s="389"/>
    </row>
    <row r="26" spans="2:7" x14ac:dyDescent="0.15">
      <c r="B26" s="381" t="s">
        <v>45</v>
      </c>
      <c r="C26" s="378"/>
      <c r="D26" s="684"/>
      <c r="E26" s="685"/>
      <c r="F26" s="686"/>
    </row>
    <row r="27" spans="2:7" x14ac:dyDescent="0.15">
      <c r="B27" s="381" t="s">
        <v>6</v>
      </c>
      <c r="C27" s="378"/>
      <c r="D27" s="684"/>
      <c r="E27" s="685"/>
      <c r="F27" s="686"/>
    </row>
    <row r="28" spans="2:7" x14ac:dyDescent="0.15">
      <c r="B28" s="381" t="s">
        <v>46</v>
      </c>
      <c r="C28" s="378"/>
      <c r="D28" s="684"/>
      <c r="E28" s="685"/>
      <c r="F28" s="686"/>
    </row>
    <row r="29" spans="2:7" x14ac:dyDescent="0.15">
      <c r="B29" s="390" t="s">
        <v>47</v>
      </c>
      <c r="C29" s="378"/>
      <c r="D29" s="684"/>
      <c r="E29" s="685"/>
      <c r="F29" s="686"/>
    </row>
    <row r="30" spans="2:7" x14ac:dyDescent="0.15">
      <c r="B30" s="381" t="s">
        <v>48</v>
      </c>
      <c r="C30" s="391">
        <f>SUM(C19:C29)</f>
        <v>0</v>
      </c>
      <c r="D30" s="684"/>
      <c r="E30" s="685"/>
      <c r="F30" s="686"/>
    </row>
    <row r="31" spans="2:7" ht="14" thickBot="1" x14ac:dyDescent="0.2">
      <c r="B31" s="381" t="s">
        <v>7</v>
      </c>
      <c r="C31" s="392">
        <f>C16+C30</f>
        <v>0</v>
      </c>
      <c r="D31" s="708"/>
      <c r="E31" s="709"/>
      <c r="F31" s="710"/>
    </row>
    <row r="32" spans="2:7" x14ac:dyDescent="0.15">
      <c r="B32" s="368"/>
      <c r="C32" s="393"/>
      <c r="D32" s="370"/>
      <c r="E32" s="370"/>
      <c r="F32" s="394"/>
      <c r="G32" s="394"/>
    </row>
    <row r="33" spans="2:12" ht="15" thickBot="1" x14ac:dyDescent="0.2">
      <c r="B33" s="371" t="s">
        <v>49</v>
      </c>
      <c r="C33" s="371" t="s">
        <v>113</v>
      </c>
      <c r="D33" s="371" t="s">
        <v>8</v>
      </c>
      <c r="E33" s="371" t="s">
        <v>12</v>
      </c>
      <c r="F33" s="371" t="s">
        <v>13</v>
      </c>
      <c r="G33" s="371" t="s">
        <v>50</v>
      </c>
      <c r="H33" s="371" t="s">
        <v>32</v>
      </c>
    </row>
    <row r="34" spans="2:12" ht="14" thickTop="1" x14ac:dyDescent="0.15">
      <c r="B34" s="387" t="s">
        <v>51</v>
      </c>
      <c r="C34" s="415">
        <f>IF($C$31=0,0,D34/$C$31)</f>
        <v>0</v>
      </c>
      <c r="D34" s="388"/>
      <c r="E34" s="374"/>
      <c r="F34" s="395"/>
      <c r="G34" s="374"/>
      <c r="H34" s="396"/>
    </row>
    <row r="35" spans="2:12" x14ac:dyDescent="0.15">
      <c r="B35" s="381" t="s">
        <v>52</v>
      </c>
      <c r="C35" s="416">
        <f>IF($C$31=0,0,D35/$C$31)</f>
        <v>0</v>
      </c>
      <c r="D35" s="378"/>
      <c r="E35" s="397"/>
      <c r="F35" s="397"/>
      <c r="G35" s="397"/>
      <c r="H35" s="398"/>
    </row>
    <row r="36" spans="2:12" x14ac:dyDescent="0.15">
      <c r="B36" s="381" t="s">
        <v>53</v>
      </c>
      <c r="C36" s="416"/>
      <c r="D36" s="397"/>
      <c r="E36" s="397"/>
      <c r="F36" s="397"/>
      <c r="G36" s="397"/>
      <c r="H36" s="398"/>
    </row>
    <row r="37" spans="2:12" x14ac:dyDescent="0.15">
      <c r="B37" s="399" t="s">
        <v>54</v>
      </c>
      <c r="C37" s="416">
        <f t="shared" ref="C37:C42" si="0">IF($C$31=0,0,D37/$C$31)</f>
        <v>0</v>
      </c>
      <c r="D37" s="378"/>
      <c r="E37" s="400">
        <v>7.0000000000000007E-2</v>
      </c>
      <c r="F37" s="401">
        <v>60</v>
      </c>
      <c r="G37" s="402">
        <f>PMT(E37/12,F37,-D37)</f>
        <v>0</v>
      </c>
      <c r="H37" s="398"/>
    </row>
    <row r="38" spans="2:12" x14ac:dyDescent="0.15">
      <c r="B38" s="399" t="s">
        <v>55</v>
      </c>
      <c r="C38" s="416">
        <f t="shared" si="0"/>
        <v>0</v>
      </c>
      <c r="D38" s="378"/>
      <c r="E38" s="400">
        <v>0.09</v>
      </c>
      <c r="F38" s="401">
        <v>240</v>
      </c>
      <c r="G38" s="402">
        <f>PMT(E38/12,F38,-D38)</f>
        <v>0</v>
      </c>
      <c r="H38" s="398"/>
      <c r="J38" s="706" t="s">
        <v>233</v>
      </c>
      <c r="K38" s="706"/>
      <c r="L38" s="706"/>
    </row>
    <row r="39" spans="2:12" x14ac:dyDescent="0.15">
      <c r="B39" s="399" t="s">
        <v>133</v>
      </c>
      <c r="C39" s="416">
        <f t="shared" si="0"/>
        <v>0</v>
      </c>
      <c r="D39" s="378"/>
      <c r="E39" s="400">
        <v>0.09</v>
      </c>
      <c r="F39" s="401">
        <v>24</v>
      </c>
      <c r="G39" s="402">
        <f>PMT(E39/12,F39,-D39)</f>
        <v>0</v>
      </c>
      <c r="H39" s="398"/>
      <c r="J39" s="706"/>
      <c r="K39" s="706"/>
      <c r="L39" s="706"/>
    </row>
    <row r="40" spans="2:12" x14ac:dyDescent="0.15">
      <c r="B40" s="399" t="s">
        <v>134</v>
      </c>
      <c r="C40" s="416">
        <f t="shared" si="0"/>
        <v>0</v>
      </c>
      <c r="D40" s="378"/>
      <c r="E40" s="400">
        <v>7.0000000000000007E-2</v>
      </c>
      <c r="F40" s="401">
        <v>48</v>
      </c>
      <c r="G40" s="402">
        <f>PMT(E40/12,F40,-D40)</f>
        <v>0</v>
      </c>
      <c r="H40" s="398"/>
      <c r="J40" s="706"/>
      <c r="K40" s="706"/>
      <c r="L40" s="706"/>
    </row>
    <row r="41" spans="2:12" x14ac:dyDescent="0.15">
      <c r="B41" s="399" t="s">
        <v>135</v>
      </c>
      <c r="C41" s="416">
        <f t="shared" si="0"/>
        <v>0</v>
      </c>
      <c r="D41" s="378"/>
      <c r="E41" s="400">
        <v>0.09</v>
      </c>
      <c r="F41" s="401">
        <v>60</v>
      </c>
      <c r="G41" s="402">
        <f>PMT(E41/12,F41,-D41)</f>
        <v>0</v>
      </c>
      <c r="H41" s="403"/>
      <c r="J41" s="706"/>
      <c r="K41" s="706"/>
      <c r="L41" s="706"/>
    </row>
    <row r="42" spans="2:12" x14ac:dyDescent="0.15">
      <c r="B42" s="381" t="s">
        <v>56</v>
      </c>
      <c r="C42" s="546">
        <f t="shared" si="0"/>
        <v>0</v>
      </c>
      <c r="D42" s="404">
        <f>SUM(D34:D41)</f>
        <v>0</v>
      </c>
      <c r="E42" s="704" t="s">
        <v>244</v>
      </c>
      <c r="F42" s="705"/>
      <c r="G42" s="391">
        <f>SUM(G37:G41)</f>
        <v>0</v>
      </c>
      <c r="H42" s="398"/>
    </row>
    <row r="43" spans="2:12" x14ac:dyDescent="0.15">
      <c r="B43" s="381" t="s">
        <v>132</v>
      </c>
      <c r="C43" s="381"/>
      <c r="D43" s="404">
        <f>C31-D42</f>
        <v>0</v>
      </c>
      <c r="E43" s="698" t="str">
        <f>IF(D43&gt;0,"You require more funding (Not Balanced)",IF(D43&lt;0,"Your funding exceeds your needs (Not Balanced)","You are fully funded (Balanced)"))</f>
        <v>You are fully funded (Balanced)</v>
      </c>
      <c r="F43" s="699"/>
      <c r="G43" s="700"/>
      <c r="H43" s="396"/>
    </row>
    <row r="44" spans="2:12" x14ac:dyDescent="0.15">
      <c r="B44" s="405" t="s">
        <v>118</v>
      </c>
      <c r="C44" s="368"/>
      <c r="D44" s="368"/>
      <c r="E44" s="368"/>
      <c r="F44" s="368"/>
      <c r="G44" s="368"/>
    </row>
    <row r="45" spans="2:12" x14ac:dyDescent="0.15">
      <c r="B45" s="370"/>
      <c r="C45" s="368"/>
      <c r="D45" s="370"/>
      <c r="E45" s="370"/>
      <c r="F45" s="370"/>
    </row>
    <row r="46" spans="2:12" ht="14" thickBot="1" x14ac:dyDescent="0.2">
      <c r="B46" s="683" t="s">
        <v>215</v>
      </c>
      <c r="C46" s="683"/>
      <c r="D46" s="370"/>
      <c r="E46" s="370"/>
      <c r="F46" s="370"/>
      <c r="G46" s="370"/>
    </row>
    <row r="47" spans="2:12" ht="14" thickTop="1" x14ac:dyDescent="0.15">
      <c r="B47" s="374" t="s">
        <v>161</v>
      </c>
      <c r="C47" s="406">
        <v>0</v>
      </c>
      <c r="D47" s="370"/>
      <c r="E47" s="407"/>
      <c r="F47" s="370"/>
      <c r="G47" s="394"/>
    </row>
    <row r="48" spans="2:12" x14ac:dyDescent="0.15">
      <c r="B48" s="408" t="s">
        <v>238</v>
      </c>
      <c r="C48" s="402">
        <v>0</v>
      </c>
      <c r="D48" s="370"/>
      <c r="E48" s="407"/>
      <c r="F48" s="370"/>
      <c r="G48" s="394"/>
    </row>
    <row r="49" spans="2:7" x14ac:dyDescent="0.15">
      <c r="B49" s="408" t="s">
        <v>237</v>
      </c>
      <c r="C49" s="402">
        <v>0</v>
      </c>
      <c r="D49" s="370"/>
      <c r="E49" s="370"/>
      <c r="F49" s="370"/>
      <c r="G49" s="370"/>
    </row>
    <row r="50" spans="2:7" x14ac:dyDescent="0.15">
      <c r="B50" s="408" t="s">
        <v>239</v>
      </c>
      <c r="C50" s="402">
        <v>0</v>
      </c>
      <c r="D50" s="370"/>
      <c r="E50" s="370"/>
      <c r="F50" s="370"/>
      <c r="G50" s="370"/>
    </row>
    <row r="51" spans="2:7" x14ac:dyDescent="0.15">
      <c r="B51" s="408" t="s">
        <v>240</v>
      </c>
      <c r="C51" s="402">
        <v>0</v>
      </c>
    </row>
    <row r="52" spans="2:7" x14ac:dyDescent="0.15">
      <c r="B52" s="381" t="s">
        <v>216</v>
      </c>
      <c r="C52" s="404">
        <f>(C47+C48+C49-C50-C51)</f>
        <v>0</v>
      </c>
      <c r="D52" s="409"/>
    </row>
    <row r="53" spans="2:7" x14ac:dyDescent="0.15">
      <c r="D53" s="409"/>
    </row>
  </sheetData>
  <sheetProtection password="CC3D" sheet="1" objects="1" scenarios="1" formatColumns="0" formatRows="0"/>
  <mergeCells count="30">
    <mergeCell ref="J38:L41"/>
    <mergeCell ref="B2:D2"/>
    <mergeCell ref="D31:F31"/>
    <mergeCell ref="D22:F22"/>
    <mergeCell ref="D20:F20"/>
    <mergeCell ref="D21:F21"/>
    <mergeCell ref="D26:F26"/>
    <mergeCell ref="E7:F7"/>
    <mergeCell ref="E8:F8"/>
    <mergeCell ref="E9:F9"/>
    <mergeCell ref="E10:F10"/>
    <mergeCell ref="E11:F11"/>
    <mergeCell ref="E12:F12"/>
    <mergeCell ref="D29:F29"/>
    <mergeCell ref="B46:C46"/>
    <mergeCell ref="D27:F27"/>
    <mergeCell ref="D28:F28"/>
    <mergeCell ref="E43:G43"/>
    <mergeCell ref="E13:F13"/>
    <mergeCell ref="D19:F19"/>
    <mergeCell ref="E42:F42"/>
    <mergeCell ref="E14:F14"/>
    <mergeCell ref="D30:F30"/>
    <mergeCell ref="D18:F18"/>
    <mergeCell ref="E15:F15"/>
    <mergeCell ref="E16:F16"/>
    <mergeCell ref="B17:F17"/>
    <mergeCell ref="D25:F25"/>
    <mergeCell ref="D24:F24"/>
    <mergeCell ref="D23:F23"/>
  </mergeCells>
  <conditionalFormatting sqref="C9:C15">
    <cfRule type="containsBlanks" dxfId="109" priority="3" stopIfTrue="1">
      <formula>LEN(TRIM(C9))=0</formula>
    </cfRule>
  </conditionalFormatting>
  <conditionalFormatting sqref="C19:C29">
    <cfRule type="containsBlanks" dxfId="108" priority="2" stopIfTrue="1">
      <formula>LEN(TRIM(C19))=0</formula>
    </cfRule>
  </conditionalFormatting>
  <conditionalFormatting sqref="D10:D15">
    <cfRule type="cellIs" dxfId="107" priority="4" operator="lessThan">
      <formula>3</formula>
    </cfRule>
  </conditionalFormatting>
  <conditionalFormatting sqref="D34:D35">
    <cfRule type="containsBlanks" dxfId="106" priority="1" stopIfTrue="1">
      <formula>LEN(TRIM(D34))=0</formula>
    </cfRule>
  </conditionalFormatting>
  <conditionalFormatting sqref="D37:D41">
    <cfRule type="containsBlanks" dxfId="105" priority="8" stopIfTrue="1">
      <formula>LEN(TRIM(D37))=0</formula>
    </cfRule>
  </conditionalFormatting>
  <conditionalFormatting sqref="D43">
    <cfRule type="cellIs" dxfId="104" priority="7" operator="greaterThan">
      <formula>0</formula>
    </cfRule>
  </conditionalFormatting>
  <conditionalFormatting sqref="E43:G43">
    <cfRule type="containsText" dxfId="103" priority="6" operator="containsText" text="require">
      <formula>NOT(ISERROR(SEARCH("require",E43)))</formula>
    </cfRule>
    <cfRule type="containsText" dxfId="102" priority="5" operator="containsText" text="fully">
      <formula>NOT(ISERROR(SEARCH("fully",E43)))</formula>
    </cfRule>
  </conditionalFormatting>
  <hyperlinks>
    <hyperlink ref="J38:L41" location="'Amortization&amp;Depreciation'!A1" display="See Loan Amortization &amp; Depreciation Schedule" xr:uid="{0116F38A-A43B-4D66-8AA3-6B033EABAEDA}"/>
  </hyperlinks>
  <printOptions horizontalCentered="1" verticalCentered="1"/>
  <pageMargins left="0.7" right="0.7" top="0.75" bottom="0.75" header="0.3" footer="0.3"/>
  <pageSetup scale="59" orientation="landscape" r:id="rId1"/>
  <headerFooter scaleWithDoc="0">
    <oddHeader>&amp;C&amp;"Gill Sans MT,Regular"&amp;12Start-Up Expenses Year 1
(Starting Balance Sheet)</oddHeader>
    <oddFooter>&amp;L&amp;"Gill Sans MT,Regular"&amp;12&amp;F&amp;C&amp;"Gill Sans MT,Regular"&amp;12&amp;A&amp;R&amp;"Gill Sans MT,Regular"&amp;12&amp;D &amp;T</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rgb="FFFFC95B"/>
    <pageSetUpPr fitToPage="1"/>
  </sheetPr>
  <dimension ref="B1:P128"/>
  <sheetViews>
    <sheetView topLeftCell="A34" zoomScale="112" zoomScaleNormal="112" workbookViewId="0">
      <selection activeCell="F8" sqref="F8"/>
    </sheetView>
  </sheetViews>
  <sheetFormatPr baseColWidth="10" defaultColWidth="8.83203125" defaultRowHeight="12" x14ac:dyDescent="0.15"/>
  <cols>
    <col min="1" max="1" width="1" style="43" customWidth="1"/>
    <col min="2" max="2" width="27.5" style="43" customWidth="1"/>
    <col min="3" max="3" width="10.6640625" style="43" customWidth="1"/>
    <col min="4" max="4" width="12.83203125" style="43" customWidth="1"/>
    <col min="5" max="5" width="11.83203125" style="43" customWidth="1"/>
    <col min="6" max="6" width="14.1640625" style="43" customWidth="1"/>
    <col min="7" max="7" width="10.5" style="43" customWidth="1"/>
    <col min="8" max="8" width="11.33203125" style="43" customWidth="1"/>
    <col min="9" max="9" width="11" style="43" customWidth="1"/>
    <col min="10" max="10" width="13.5" style="43" customWidth="1"/>
    <col min="11" max="11" width="10.5" style="43" customWidth="1"/>
    <col min="12" max="12" width="10.33203125" style="43" customWidth="1"/>
    <col min="13" max="13" width="9.6640625" style="43" customWidth="1"/>
    <col min="14" max="14" width="9.5" style="43" customWidth="1"/>
    <col min="15" max="15" width="13.33203125" style="43" customWidth="1"/>
    <col min="16" max="16" width="9.33203125" style="43" customWidth="1"/>
    <col min="17" max="16384" width="8.83203125" style="43"/>
  </cols>
  <sheetData>
    <row r="1" spans="2:13" ht="16" x14ac:dyDescent="0.15">
      <c r="F1" s="722" t="s">
        <v>446</v>
      </c>
      <c r="G1" s="722"/>
      <c r="H1" s="723"/>
      <c r="I1" s="723"/>
    </row>
    <row r="2" spans="2:13" ht="1" customHeight="1" x14ac:dyDescent="0.15">
      <c r="B2" s="53"/>
      <c r="C2" s="53"/>
      <c r="D2" s="53"/>
      <c r="E2" s="53"/>
      <c r="F2" s="53"/>
    </row>
    <row r="3" spans="2:13" ht="23.25" customHeight="1" thickBot="1" x14ac:dyDescent="0.2">
      <c r="B3" s="442" t="s">
        <v>349</v>
      </c>
      <c r="C3" s="491"/>
      <c r="D3" s="539"/>
      <c r="E3" s="539"/>
      <c r="F3" s="53"/>
      <c r="H3" s="97"/>
    </row>
    <row r="4" spans="2:13" ht="18" hidden="1" customHeight="1" x14ac:dyDescent="0.15">
      <c r="B4" s="5" t="s">
        <v>350</v>
      </c>
      <c r="C4" s="17" t="s">
        <v>350</v>
      </c>
      <c r="D4" s="5"/>
      <c r="E4" s="717"/>
      <c r="F4" s="717"/>
    </row>
    <row r="5" spans="2:13" ht="16" thickBot="1" x14ac:dyDescent="0.25">
      <c r="F5" s="97"/>
      <c r="H5" s="525"/>
      <c r="I5" s="488" t="s">
        <v>413</v>
      </c>
    </row>
    <row r="6" spans="2:13" ht="20" customHeight="1" thickBot="1" x14ac:dyDescent="0.25">
      <c r="B6" s="724" t="s">
        <v>82</v>
      </c>
      <c r="C6" s="724"/>
      <c r="D6" s="724"/>
      <c r="E6" s="724"/>
      <c r="F6" s="725"/>
      <c r="G6" s="726"/>
      <c r="H6" s="510"/>
      <c r="I6" s="488" t="s">
        <v>416</v>
      </c>
    </row>
    <row r="7" spans="2:13" ht="55.5" customHeight="1" thickTop="1" x14ac:dyDescent="0.15">
      <c r="B7" s="319" t="s">
        <v>427</v>
      </c>
      <c r="C7" s="319" t="s">
        <v>426</v>
      </c>
      <c r="D7" s="319" t="s">
        <v>347</v>
      </c>
      <c r="E7" s="319" t="s">
        <v>400</v>
      </c>
      <c r="F7" s="458" t="s">
        <v>428</v>
      </c>
      <c r="G7" s="456"/>
      <c r="H7" s="457"/>
      <c r="J7" s="458" t="s">
        <v>417</v>
      </c>
      <c r="K7" s="458" t="s">
        <v>354</v>
      </c>
      <c r="L7" s="300"/>
    </row>
    <row r="8" spans="2:13" ht="15" customHeight="1" x14ac:dyDescent="0.15">
      <c r="B8" s="127" t="s">
        <v>533</v>
      </c>
      <c r="C8" s="485">
        <v>1</v>
      </c>
      <c r="D8" s="538"/>
      <c r="E8" s="486">
        <f t="shared" ref="E8:E21" si="0">D8*C8*4.34</f>
        <v>0</v>
      </c>
      <c r="F8" s="454"/>
      <c r="G8" s="9"/>
      <c r="J8" s="516" t="s">
        <v>338</v>
      </c>
      <c r="K8" s="517" t="s">
        <v>418</v>
      </c>
      <c r="L8" s="489"/>
    </row>
    <row r="9" spans="2:13" ht="15" customHeight="1" x14ac:dyDescent="0.2">
      <c r="B9" s="127" t="s">
        <v>534</v>
      </c>
      <c r="C9" s="485">
        <v>1</v>
      </c>
      <c r="D9" s="538"/>
      <c r="E9" s="486">
        <f t="shared" si="0"/>
        <v>0</v>
      </c>
      <c r="F9" s="454"/>
      <c r="G9" s="9"/>
      <c r="H9" s="9"/>
      <c r="J9" s="516" t="s">
        <v>340</v>
      </c>
      <c r="K9" s="517" t="s">
        <v>419</v>
      </c>
      <c r="L9" s="490"/>
    </row>
    <row r="10" spans="2:13" ht="15" customHeight="1" x14ac:dyDescent="0.2">
      <c r="B10" s="127" t="s">
        <v>535</v>
      </c>
      <c r="C10" s="485">
        <v>1</v>
      </c>
      <c r="D10" s="538"/>
      <c r="E10" s="486">
        <f t="shared" si="0"/>
        <v>0</v>
      </c>
      <c r="F10" s="454"/>
      <c r="G10" s="9"/>
      <c r="H10" s="9"/>
      <c r="I10" s="488" t="s">
        <v>350</v>
      </c>
      <c r="J10" s="516" t="s">
        <v>339</v>
      </c>
      <c r="K10" s="517" t="s">
        <v>420</v>
      </c>
    </row>
    <row r="11" spans="2:13" ht="15" customHeight="1" x14ac:dyDescent="0.15">
      <c r="B11" s="127" t="s">
        <v>536</v>
      </c>
      <c r="C11" s="485">
        <v>1</v>
      </c>
      <c r="D11" s="538"/>
      <c r="E11" s="486">
        <f t="shared" si="0"/>
        <v>0</v>
      </c>
      <c r="F11" s="454"/>
      <c r="G11" s="9"/>
      <c r="H11" s="9"/>
      <c r="I11" s="98"/>
      <c r="J11" s="516" t="s">
        <v>341</v>
      </c>
      <c r="K11" s="517" t="s">
        <v>421</v>
      </c>
    </row>
    <row r="12" spans="2:13" ht="15" customHeight="1" x14ac:dyDescent="0.2">
      <c r="B12" s="127" t="s">
        <v>537</v>
      </c>
      <c r="C12" s="485">
        <v>1</v>
      </c>
      <c r="D12" s="538"/>
      <c r="E12" s="486">
        <f t="shared" si="0"/>
        <v>0</v>
      </c>
      <c r="F12" s="454"/>
      <c r="G12" s="9"/>
      <c r="H12" s="9"/>
      <c r="I12" s="98"/>
      <c r="J12" s="516" t="s">
        <v>342</v>
      </c>
      <c r="K12" s="517" t="s">
        <v>422</v>
      </c>
      <c r="M12" s="509" t="s">
        <v>425</v>
      </c>
    </row>
    <row r="13" spans="2:13" ht="15" customHeight="1" x14ac:dyDescent="0.15">
      <c r="B13" s="127" t="s">
        <v>538</v>
      </c>
      <c r="C13" s="485">
        <v>1</v>
      </c>
      <c r="D13" s="538"/>
      <c r="E13" s="486">
        <f t="shared" si="0"/>
        <v>0</v>
      </c>
      <c r="F13" s="454"/>
      <c r="G13" s="9"/>
      <c r="H13" s="9" t="s">
        <v>435</v>
      </c>
      <c r="I13" s="98"/>
      <c r="J13" s="516" t="s">
        <v>351</v>
      </c>
      <c r="K13" s="517" t="s">
        <v>423</v>
      </c>
    </row>
    <row r="14" spans="2:13" ht="15" customHeight="1" x14ac:dyDescent="0.15">
      <c r="B14" s="127" t="s">
        <v>539</v>
      </c>
      <c r="C14" s="485">
        <v>1</v>
      </c>
      <c r="D14" s="538"/>
      <c r="E14" s="486">
        <f t="shared" si="0"/>
        <v>0</v>
      </c>
      <c r="F14" s="454"/>
      <c r="G14" s="9"/>
      <c r="H14" s="9" t="s">
        <v>436</v>
      </c>
      <c r="I14" s="98"/>
      <c r="J14" s="516" t="s">
        <v>353</v>
      </c>
      <c r="K14" s="517" t="s">
        <v>420</v>
      </c>
    </row>
    <row r="15" spans="2:13" ht="15" customHeight="1" x14ac:dyDescent="0.15">
      <c r="B15" s="127" t="s">
        <v>540</v>
      </c>
      <c r="C15" s="485">
        <v>1</v>
      </c>
      <c r="D15" s="538"/>
      <c r="E15" s="486">
        <f t="shared" si="0"/>
        <v>0</v>
      </c>
      <c r="F15" s="454"/>
      <c r="G15" s="9"/>
      <c r="H15" s="9" t="s">
        <v>438</v>
      </c>
      <c r="I15" s="98"/>
      <c r="J15" s="516" t="s">
        <v>352</v>
      </c>
      <c r="K15" s="517" t="s">
        <v>422</v>
      </c>
    </row>
    <row r="16" spans="2:13" ht="15" customHeight="1" x14ac:dyDescent="0.15">
      <c r="B16" s="127" t="s">
        <v>541</v>
      </c>
      <c r="C16" s="485">
        <v>1</v>
      </c>
      <c r="D16" s="538"/>
      <c r="E16" s="486">
        <f t="shared" si="0"/>
        <v>0</v>
      </c>
      <c r="F16" s="454"/>
      <c r="G16" s="9"/>
      <c r="I16" s="98"/>
      <c r="J16" s="516" t="s">
        <v>424</v>
      </c>
      <c r="K16" s="517">
        <v>20</v>
      </c>
    </row>
    <row r="17" spans="2:16" ht="15" customHeight="1" x14ac:dyDescent="0.15">
      <c r="B17" s="127" t="s">
        <v>456</v>
      </c>
      <c r="C17" s="485">
        <v>1</v>
      </c>
      <c r="D17" s="538"/>
      <c r="E17" s="486">
        <f t="shared" si="0"/>
        <v>0</v>
      </c>
      <c r="F17" s="454"/>
      <c r="G17" s="9"/>
      <c r="H17" s="9" t="s">
        <v>437</v>
      </c>
      <c r="I17" s="98"/>
      <c r="J17" s="98"/>
    </row>
    <row r="18" spans="2:16" ht="15" customHeight="1" x14ac:dyDescent="0.15">
      <c r="B18" s="127" t="s">
        <v>457</v>
      </c>
      <c r="C18" s="485">
        <v>1</v>
      </c>
      <c r="D18" s="538"/>
      <c r="E18" s="486">
        <f t="shared" si="0"/>
        <v>0</v>
      </c>
      <c r="F18" s="454"/>
      <c r="G18" s="484"/>
      <c r="H18" s="484"/>
      <c r="I18" s="484"/>
      <c r="J18" s="484"/>
      <c r="K18" s="484"/>
      <c r="L18" s="484"/>
      <c r="M18" s="484"/>
      <c r="N18" s="484"/>
      <c r="O18" s="484"/>
    </row>
    <row r="19" spans="2:16" ht="15" hidden="1" customHeight="1" x14ac:dyDescent="0.15">
      <c r="B19" s="127" t="s">
        <v>458</v>
      </c>
      <c r="C19" s="127"/>
      <c r="D19" s="127"/>
      <c r="E19" s="455">
        <f t="shared" si="0"/>
        <v>0</v>
      </c>
      <c r="F19" s="454"/>
      <c r="G19" s="9"/>
      <c r="H19" s="9"/>
      <c r="I19" s="98"/>
      <c r="J19" s="98"/>
    </row>
    <row r="20" spans="2:16" ht="15" hidden="1" customHeight="1" x14ac:dyDescent="0.15">
      <c r="B20" s="127" t="s">
        <v>459</v>
      </c>
      <c r="C20" s="127"/>
      <c r="D20" s="127"/>
      <c r="E20" s="455">
        <f t="shared" si="0"/>
        <v>0</v>
      </c>
      <c r="F20" s="454"/>
      <c r="G20" s="9"/>
      <c r="H20" s="9"/>
      <c r="I20" s="98"/>
      <c r="J20" s="98"/>
    </row>
    <row r="21" spans="2:16" ht="15" hidden="1" customHeight="1" x14ac:dyDescent="0.15">
      <c r="B21" s="127" t="s">
        <v>460</v>
      </c>
      <c r="C21" s="127"/>
      <c r="D21" s="127"/>
      <c r="E21" s="455">
        <f t="shared" si="0"/>
        <v>0</v>
      </c>
      <c r="F21" s="454"/>
      <c r="G21" s="9"/>
      <c r="H21" s="9"/>
      <c r="I21" s="98"/>
      <c r="J21" s="98"/>
    </row>
    <row r="22" spans="2:16" ht="25" customHeight="1" thickBot="1" x14ac:dyDescent="0.2">
      <c r="E22" s="721"/>
      <c r="F22" s="721"/>
      <c r="G22" s="721"/>
      <c r="H22" s="721"/>
      <c r="I22" s="721"/>
      <c r="J22" s="721"/>
      <c r="K22" s="721"/>
      <c r="L22" s="721"/>
      <c r="M22" s="721"/>
      <c r="N22" s="721"/>
      <c r="O22" s="721"/>
    </row>
    <row r="23" spans="2:16" ht="29.25" customHeight="1" thickBot="1" x14ac:dyDescent="0.2">
      <c r="B23" s="447" t="s">
        <v>343</v>
      </c>
      <c r="C23" s="524" t="s">
        <v>532</v>
      </c>
      <c r="D23" s="524" t="s">
        <v>402</v>
      </c>
      <c r="E23" s="524" t="s">
        <v>403</v>
      </c>
      <c r="F23" s="524" t="s">
        <v>404</v>
      </c>
      <c r="G23" s="524" t="s">
        <v>405</v>
      </c>
      <c r="H23" s="524" t="s">
        <v>406</v>
      </c>
      <c r="I23" s="524" t="s">
        <v>407</v>
      </c>
      <c r="J23" s="524" t="s">
        <v>408</v>
      </c>
      <c r="K23" s="524" t="s">
        <v>409</v>
      </c>
      <c r="L23" s="524" t="s">
        <v>410</v>
      </c>
      <c r="M23" s="524" t="s">
        <v>411</v>
      </c>
      <c r="N23" s="524" t="s">
        <v>412</v>
      </c>
      <c r="O23" s="522" t="s">
        <v>81</v>
      </c>
      <c r="P23" s="523" t="s">
        <v>415</v>
      </c>
    </row>
    <row r="24" spans="2:16" ht="15" customHeight="1" thickBot="1" x14ac:dyDescent="0.2">
      <c r="B24" s="99" t="str">
        <f>IF(ISBLANK(B8), "Product 1", B8)</f>
        <v>Classroom or program 1</v>
      </c>
      <c r="C24" s="99"/>
      <c r="D24" s="99"/>
      <c r="E24" s="448"/>
      <c r="F24" s="448"/>
      <c r="G24" s="448"/>
      <c r="H24" s="448"/>
      <c r="I24" s="448"/>
      <c r="J24" s="448"/>
      <c r="K24" s="448"/>
      <c r="L24" s="448"/>
      <c r="M24" s="448"/>
      <c r="N24" s="448"/>
      <c r="O24" s="448"/>
      <c r="P24" s="153"/>
    </row>
    <row r="25" spans="2:16" ht="15" customHeight="1" x14ac:dyDescent="0.15">
      <c r="B25" s="101" t="s">
        <v>344</v>
      </c>
      <c r="C25" s="526">
        <v>4</v>
      </c>
      <c r="D25" s="526">
        <v>4</v>
      </c>
      <c r="E25" s="526">
        <v>4</v>
      </c>
      <c r="F25" s="526">
        <v>4</v>
      </c>
      <c r="G25" s="526">
        <v>4</v>
      </c>
      <c r="H25" s="526">
        <v>4</v>
      </c>
      <c r="I25" s="526">
        <v>4</v>
      </c>
      <c r="J25" s="526">
        <v>4</v>
      </c>
      <c r="K25" s="526">
        <v>4</v>
      </c>
      <c r="L25" s="526">
        <v>4</v>
      </c>
      <c r="M25" s="526">
        <v>4</v>
      </c>
      <c r="N25" s="526">
        <v>4</v>
      </c>
      <c r="O25" s="451" t="s">
        <v>350</v>
      </c>
      <c r="P25" s="153"/>
    </row>
    <row r="26" spans="2:16" ht="15" customHeight="1" x14ac:dyDescent="0.15">
      <c r="B26" s="107" t="s">
        <v>461</v>
      </c>
      <c r="C26" s="449">
        <f t="shared" ref="C26:N26" si="1">C25*Unit1</f>
        <v>0</v>
      </c>
      <c r="D26" s="449">
        <f t="shared" si="1"/>
        <v>0</v>
      </c>
      <c r="E26" s="449">
        <f t="shared" si="1"/>
        <v>0</v>
      </c>
      <c r="F26" s="449">
        <f t="shared" si="1"/>
        <v>0</v>
      </c>
      <c r="G26" s="449">
        <f t="shared" si="1"/>
        <v>0</v>
      </c>
      <c r="H26" s="449">
        <f t="shared" si="1"/>
        <v>0</v>
      </c>
      <c r="I26" s="449">
        <f t="shared" si="1"/>
        <v>0</v>
      </c>
      <c r="J26" s="449">
        <f t="shared" si="1"/>
        <v>0</v>
      </c>
      <c r="K26" s="449">
        <f t="shared" si="1"/>
        <v>0</v>
      </c>
      <c r="L26" s="449">
        <f t="shared" si="1"/>
        <v>0</v>
      </c>
      <c r="M26" s="449">
        <f t="shared" si="1"/>
        <v>0</v>
      </c>
      <c r="N26" s="449">
        <f t="shared" si="1"/>
        <v>0</v>
      </c>
      <c r="O26" s="116">
        <f>SUM(C26:N26)</f>
        <v>0</v>
      </c>
      <c r="P26" s="153"/>
    </row>
    <row r="27" spans="2:16" ht="15" customHeight="1" thickBot="1" x14ac:dyDescent="0.2">
      <c r="B27" s="107" t="s">
        <v>356</v>
      </c>
      <c r="C27" s="450" t="e">
        <f>IF(C25=0,0,(ROUNDUP(C25/F8,)))</f>
        <v>#DIV/0!</v>
      </c>
      <c r="D27" s="450" t="e">
        <f t="shared" ref="D27:N27" si="2">IF(D25=0,0,ROUNDUP(D25/$F$8,))</f>
        <v>#DIV/0!</v>
      </c>
      <c r="E27" s="450" t="e">
        <f t="shared" si="2"/>
        <v>#DIV/0!</v>
      </c>
      <c r="F27" s="450" t="e">
        <f t="shared" si="2"/>
        <v>#DIV/0!</v>
      </c>
      <c r="G27" s="450" t="e">
        <f t="shared" si="2"/>
        <v>#DIV/0!</v>
      </c>
      <c r="H27" s="450" t="e">
        <f t="shared" si="2"/>
        <v>#DIV/0!</v>
      </c>
      <c r="I27" s="450" t="e">
        <f t="shared" si="2"/>
        <v>#DIV/0!</v>
      </c>
      <c r="J27" s="450" t="e">
        <f t="shared" si="2"/>
        <v>#DIV/0!</v>
      </c>
      <c r="K27" s="450" t="e">
        <f t="shared" si="2"/>
        <v>#DIV/0!</v>
      </c>
      <c r="L27" s="450" t="e">
        <f t="shared" si="2"/>
        <v>#DIV/0!</v>
      </c>
      <c r="M27" s="450" t="e">
        <f t="shared" si="2"/>
        <v>#DIV/0!</v>
      </c>
      <c r="N27" s="450" t="e">
        <f t="shared" si="2"/>
        <v>#DIV/0!</v>
      </c>
      <c r="O27" s="116"/>
      <c r="P27" s="153"/>
    </row>
    <row r="28" spans="2:16" ht="15" customHeight="1" thickBot="1" x14ac:dyDescent="0.2">
      <c r="B28" s="107" t="s">
        <v>463</v>
      </c>
      <c r="C28" s="449" t="e">
        <f>C27*'Pay Calculator'!$C$13</f>
        <v>#DIV/0!</v>
      </c>
      <c r="D28" s="449" t="e">
        <f>D27*'Pay Calculator'!$C$13</f>
        <v>#DIV/0!</v>
      </c>
      <c r="E28" s="449" t="e">
        <f>E27*'Pay Calculator'!$C$13</f>
        <v>#DIV/0!</v>
      </c>
      <c r="F28" s="449" t="e">
        <f>F27*'Pay Calculator'!$C$13</f>
        <v>#DIV/0!</v>
      </c>
      <c r="G28" s="449" t="e">
        <f>G27*'Pay Calculator'!$C$13</f>
        <v>#DIV/0!</v>
      </c>
      <c r="H28" s="449" t="e">
        <f>H27*'Pay Calculator'!$C$13</f>
        <v>#DIV/0!</v>
      </c>
      <c r="I28" s="449" t="e">
        <f>I27*'Pay Calculator'!$C$13</f>
        <v>#DIV/0!</v>
      </c>
      <c r="J28" s="449" t="e">
        <f>J27*'Pay Calculator'!$C$13</f>
        <v>#DIV/0!</v>
      </c>
      <c r="K28" s="449" t="e">
        <f>K27*'Pay Calculator'!$C$13</f>
        <v>#DIV/0!</v>
      </c>
      <c r="L28" s="449" t="e">
        <f>L27*'Pay Calculator'!$C$13</f>
        <v>#DIV/0!</v>
      </c>
      <c r="M28" s="449" t="e">
        <f>M27*'Pay Calculator'!$C$13</f>
        <v>#DIV/0!</v>
      </c>
      <c r="N28" s="449" t="e">
        <f>N27*'Pay Calculator'!$C$13</f>
        <v>#DIV/0!</v>
      </c>
      <c r="O28" s="116" t="e">
        <f>SUM(C28:N28)</f>
        <v>#DIV/0!</v>
      </c>
      <c r="P28" s="498" t="e">
        <f>O28/Category1_Annual_Sales</f>
        <v>#DIV/0!</v>
      </c>
    </row>
    <row r="29" spans="2:16" ht="15" customHeight="1" x14ac:dyDescent="0.15">
      <c r="B29" s="107" t="s">
        <v>462</v>
      </c>
      <c r="C29" s="449" t="e">
        <f>C26-C28</f>
        <v>#DIV/0!</v>
      </c>
      <c r="D29" s="449" t="e">
        <f t="shared" ref="D29:N29" si="3">D26-D28</f>
        <v>#DIV/0!</v>
      </c>
      <c r="E29" s="449" t="e">
        <f t="shared" si="3"/>
        <v>#DIV/0!</v>
      </c>
      <c r="F29" s="449" t="e">
        <f t="shared" si="3"/>
        <v>#DIV/0!</v>
      </c>
      <c r="G29" s="449" t="e">
        <f t="shared" si="3"/>
        <v>#DIV/0!</v>
      </c>
      <c r="H29" s="449" t="e">
        <f t="shared" si="3"/>
        <v>#DIV/0!</v>
      </c>
      <c r="I29" s="449" t="e">
        <f t="shared" si="3"/>
        <v>#DIV/0!</v>
      </c>
      <c r="J29" s="449" t="e">
        <f t="shared" si="3"/>
        <v>#DIV/0!</v>
      </c>
      <c r="K29" s="449" t="e">
        <f t="shared" si="3"/>
        <v>#DIV/0!</v>
      </c>
      <c r="L29" s="449" t="e">
        <f t="shared" si="3"/>
        <v>#DIV/0!</v>
      </c>
      <c r="M29" s="449" t="e">
        <f t="shared" si="3"/>
        <v>#DIV/0!</v>
      </c>
      <c r="N29" s="449" t="e">
        <f t="shared" si="3"/>
        <v>#DIV/0!</v>
      </c>
      <c r="O29" s="116" t="e">
        <f>SUM(C29:N29)</f>
        <v>#DIV/0!</v>
      </c>
      <c r="P29" s="153"/>
    </row>
    <row r="30" spans="2:16" ht="15" hidden="1" customHeight="1" x14ac:dyDescent="0.15">
      <c r="B30" s="444"/>
      <c r="C30" s="445"/>
      <c r="D30" s="445"/>
      <c r="E30" s="446"/>
      <c r="F30" s="446"/>
      <c r="G30" s="446"/>
      <c r="H30" s="446"/>
      <c r="I30" s="446"/>
      <c r="J30" s="446"/>
      <c r="K30" s="446"/>
      <c r="L30" s="446"/>
      <c r="M30" s="446"/>
      <c r="N30" s="446"/>
      <c r="O30" s="446"/>
      <c r="P30" s="153"/>
    </row>
    <row r="31" spans="2:16" ht="15" hidden="1" customHeight="1" x14ac:dyDescent="0.15">
      <c r="B31" s="444"/>
      <c r="C31" s="445"/>
      <c r="D31" s="445"/>
      <c r="E31" s="446"/>
      <c r="F31" s="446"/>
      <c r="G31" s="446"/>
      <c r="H31" s="446"/>
      <c r="I31" s="446"/>
      <c r="J31" s="446"/>
      <c r="K31" s="446"/>
      <c r="L31" s="446"/>
      <c r="M31" s="446"/>
      <c r="N31" s="446"/>
      <c r="O31" s="446"/>
      <c r="P31" s="153"/>
    </row>
    <row r="32" spans="2:16" ht="15" customHeight="1" x14ac:dyDescent="0.15">
      <c r="B32" s="108"/>
      <c r="C32" s="258"/>
      <c r="D32" s="258"/>
      <c r="E32" s="109"/>
      <c r="F32" s="110"/>
      <c r="G32" s="110"/>
      <c r="H32" s="110"/>
      <c r="I32" s="110"/>
      <c r="J32" s="110"/>
      <c r="K32" s="110"/>
      <c r="L32" s="110"/>
      <c r="M32" s="110"/>
      <c r="N32" s="110"/>
      <c r="O32" s="110"/>
      <c r="P32" s="153"/>
    </row>
    <row r="33" spans="2:16" ht="13" thickBot="1" x14ac:dyDescent="0.2">
      <c r="B33" s="99" t="str">
        <f>IF(ISBLANK(B9), "Product 2", B9)</f>
        <v>Classroom or program 2</v>
      </c>
      <c r="C33" s="112"/>
      <c r="D33" s="112"/>
      <c r="E33" s="113"/>
      <c r="F33" s="113"/>
      <c r="G33" s="113"/>
      <c r="H33" s="113"/>
      <c r="I33" s="113"/>
      <c r="J33" s="113"/>
      <c r="K33" s="113"/>
      <c r="L33" s="113"/>
      <c r="M33" s="113"/>
      <c r="N33" s="113"/>
      <c r="O33" s="113"/>
      <c r="P33" s="153"/>
    </row>
    <row r="34" spans="2:16" ht="15" customHeight="1" x14ac:dyDescent="0.15">
      <c r="B34" s="101" t="s">
        <v>344</v>
      </c>
      <c r="C34" s="526">
        <v>6</v>
      </c>
      <c r="D34" s="526">
        <v>6</v>
      </c>
      <c r="E34" s="526">
        <v>6</v>
      </c>
      <c r="F34" s="526">
        <v>6</v>
      </c>
      <c r="G34" s="526">
        <v>6</v>
      </c>
      <c r="H34" s="526">
        <v>6</v>
      </c>
      <c r="I34" s="526">
        <v>6</v>
      </c>
      <c r="J34" s="526">
        <v>6</v>
      </c>
      <c r="K34" s="526">
        <v>6</v>
      </c>
      <c r="L34" s="526">
        <v>6</v>
      </c>
      <c r="M34" s="526">
        <v>6</v>
      </c>
      <c r="N34" s="526">
        <v>6</v>
      </c>
      <c r="O34" s="280">
        <f>SUM(C34:N34)/12</f>
        <v>6</v>
      </c>
      <c r="P34" s="153"/>
    </row>
    <row r="35" spans="2:16" ht="15" customHeight="1" x14ac:dyDescent="0.15">
      <c r="B35" s="115" t="s">
        <v>348</v>
      </c>
      <c r="C35" s="476">
        <f t="shared" ref="C35:N35" si="4">C34*Unit2</f>
        <v>0</v>
      </c>
      <c r="D35" s="476">
        <f t="shared" si="4"/>
        <v>0</v>
      </c>
      <c r="E35" s="476">
        <f t="shared" si="4"/>
        <v>0</v>
      </c>
      <c r="F35" s="476">
        <f t="shared" si="4"/>
        <v>0</v>
      </c>
      <c r="G35" s="476">
        <f t="shared" si="4"/>
        <v>0</v>
      </c>
      <c r="H35" s="476">
        <f t="shared" si="4"/>
        <v>0</v>
      </c>
      <c r="I35" s="476">
        <f t="shared" si="4"/>
        <v>0</v>
      </c>
      <c r="J35" s="476">
        <f t="shared" si="4"/>
        <v>0</v>
      </c>
      <c r="K35" s="476">
        <f t="shared" si="4"/>
        <v>0</v>
      </c>
      <c r="L35" s="476">
        <f t="shared" si="4"/>
        <v>0</v>
      </c>
      <c r="M35" s="476">
        <f t="shared" si="4"/>
        <v>0</v>
      </c>
      <c r="N35" s="476">
        <f t="shared" si="4"/>
        <v>0</v>
      </c>
      <c r="O35" s="478">
        <f>SUM(C35:N35)</f>
        <v>0</v>
      </c>
      <c r="P35" s="153"/>
    </row>
    <row r="36" spans="2:16" ht="15" customHeight="1" thickBot="1" x14ac:dyDescent="0.2">
      <c r="B36" s="107" t="s">
        <v>356</v>
      </c>
      <c r="C36" s="450" t="e">
        <f>IF(C34=0,0,ROUNDUP(C34/$F$9,))</f>
        <v>#DIV/0!</v>
      </c>
      <c r="D36" s="450" t="e">
        <f>IF(D34=0,0,ROUNDUP(D34/$F$9,0))</f>
        <v>#DIV/0!</v>
      </c>
      <c r="E36" s="450" t="e">
        <f>IF(E34=0,0,ROUNDUP(E34/$F$9,))</f>
        <v>#DIV/0!</v>
      </c>
      <c r="F36" s="450" t="e">
        <f>IF(F34=0,0,ROUNDUP(F34/$F$9,))</f>
        <v>#DIV/0!</v>
      </c>
      <c r="G36" s="450" t="e">
        <f t="shared" ref="G36:N36" si="5">IF(G34=0,0,ROUNDUP(G34/$F$9,))</f>
        <v>#DIV/0!</v>
      </c>
      <c r="H36" s="450" t="e">
        <f t="shared" si="5"/>
        <v>#DIV/0!</v>
      </c>
      <c r="I36" s="450" t="e">
        <f t="shared" si="5"/>
        <v>#DIV/0!</v>
      </c>
      <c r="J36" s="450" t="e">
        <f t="shared" si="5"/>
        <v>#DIV/0!</v>
      </c>
      <c r="K36" s="450" t="e">
        <f t="shared" si="5"/>
        <v>#DIV/0!</v>
      </c>
      <c r="L36" s="450" t="e">
        <f t="shared" si="5"/>
        <v>#DIV/0!</v>
      </c>
      <c r="M36" s="450" t="e">
        <f t="shared" si="5"/>
        <v>#DIV/0!</v>
      </c>
      <c r="N36" s="450" t="e">
        <f t="shared" si="5"/>
        <v>#DIV/0!</v>
      </c>
      <c r="O36" s="116"/>
      <c r="P36" s="153"/>
    </row>
    <row r="37" spans="2:16" ht="15" customHeight="1" thickBot="1" x14ac:dyDescent="0.2">
      <c r="B37" s="107" t="s">
        <v>463</v>
      </c>
      <c r="C37" s="449" t="e">
        <f>C36*'Pay Calculator'!$C$26</f>
        <v>#DIV/0!</v>
      </c>
      <c r="D37" s="449" t="e">
        <f>D36*'Pay Calculator'!$C$26</f>
        <v>#DIV/0!</v>
      </c>
      <c r="E37" s="449" t="e">
        <f>E36*'Pay Calculator'!$C$26</f>
        <v>#DIV/0!</v>
      </c>
      <c r="F37" s="449" t="e">
        <f>F36*'Pay Calculator'!$C$26</f>
        <v>#DIV/0!</v>
      </c>
      <c r="G37" s="449" t="e">
        <f>G36*'Pay Calculator'!$C$26</f>
        <v>#DIV/0!</v>
      </c>
      <c r="H37" s="449" t="e">
        <f>H36*'Pay Calculator'!$C$26</f>
        <v>#DIV/0!</v>
      </c>
      <c r="I37" s="449" t="e">
        <f>I36*'Pay Calculator'!$C$26</f>
        <v>#DIV/0!</v>
      </c>
      <c r="J37" s="449" t="e">
        <f>J36*'Pay Calculator'!$C$26</f>
        <v>#DIV/0!</v>
      </c>
      <c r="K37" s="449" t="e">
        <f>K36*'Pay Calculator'!$C$26</f>
        <v>#DIV/0!</v>
      </c>
      <c r="L37" s="449" t="e">
        <f>L36*'Pay Calculator'!$C$26</f>
        <v>#DIV/0!</v>
      </c>
      <c r="M37" s="449" t="e">
        <f>M36*'Pay Calculator'!$C$26</f>
        <v>#DIV/0!</v>
      </c>
      <c r="N37" s="449" t="e">
        <f>N36*'Pay Calculator'!$C$26</f>
        <v>#DIV/0!</v>
      </c>
      <c r="O37" s="478" t="e">
        <f>SUM(C37:N37)</f>
        <v>#DIV/0!</v>
      </c>
      <c r="P37" s="499" t="e">
        <f>O37/Category2_Annual_Sales</f>
        <v>#DIV/0!</v>
      </c>
    </row>
    <row r="38" spans="2:16" ht="15" customHeight="1" x14ac:dyDescent="0.15">
      <c r="B38" s="107" t="s">
        <v>462</v>
      </c>
      <c r="C38" s="449" t="e">
        <f>C35-C37</f>
        <v>#DIV/0!</v>
      </c>
      <c r="D38" s="449" t="e">
        <f t="shared" ref="D38" si="6">D35-D37</f>
        <v>#DIV/0!</v>
      </c>
      <c r="E38" s="449" t="e">
        <f t="shared" ref="E38" si="7">E35-E37</f>
        <v>#DIV/0!</v>
      </c>
      <c r="F38" s="449" t="e">
        <f t="shared" ref="F38" si="8">F35-F37</f>
        <v>#DIV/0!</v>
      </c>
      <c r="G38" s="449" t="e">
        <f t="shared" ref="G38" si="9">G35-G37</f>
        <v>#DIV/0!</v>
      </c>
      <c r="H38" s="449" t="e">
        <f t="shared" ref="H38" si="10">H35-H37</f>
        <v>#DIV/0!</v>
      </c>
      <c r="I38" s="449" t="e">
        <f t="shared" ref="I38" si="11">I35-I37</f>
        <v>#DIV/0!</v>
      </c>
      <c r="J38" s="449" t="e">
        <f t="shared" ref="J38" si="12">J35-J37</f>
        <v>#DIV/0!</v>
      </c>
      <c r="K38" s="449" t="e">
        <f t="shared" ref="K38" si="13">K35-K37</f>
        <v>#DIV/0!</v>
      </c>
      <c r="L38" s="449" t="e">
        <f t="shared" ref="L38" si="14">L35-L37</f>
        <v>#DIV/0!</v>
      </c>
      <c r="M38" s="449" t="e">
        <f t="shared" ref="M38" si="15">M35-M37</f>
        <v>#DIV/0!</v>
      </c>
      <c r="N38" s="449" t="e">
        <f t="shared" ref="N38" si="16">N35-N37</f>
        <v>#DIV/0!</v>
      </c>
      <c r="O38" s="478" t="e">
        <f>SUM(C38:N38)</f>
        <v>#DIV/0!</v>
      </c>
      <c r="P38" s="153"/>
    </row>
    <row r="39" spans="2:16" ht="15" customHeight="1" x14ac:dyDescent="0.15">
      <c r="B39" s="115"/>
      <c r="C39" s="122"/>
      <c r="D39" s="122"/>
      <c r="E39" s="276"/>
      <c r="F39" s="276"/>
      <c r="G39" s="276"/>
      <c r="H39" s="276"/>
      <c r="I39" s="276"/>
      <c r="J39" s="276"/>
      <c r="K39" s="276"/>
      <c r="L39" s="276"/>
      <c r="M39" s="276"/>
      <c r="N39" s="276"/>
      <c r="O39" s="276"/>
      <c r="P39" s="153"/>
    </row>
    <row r="40" spans="2:16" ht="13" thickBot="1" x14ac:dyDescent="0.2">
      <c r="B40" s="99" t="str">
        <f>IF(ISBLANK(B10), "Product 3", B10)</f>
        <v>Classroom or program 3</v>
      </c>
      <c r="C40" s="112"/>
      <c r="D40" s="112"/>
      <c r="E40" s="117"/>
      <c r="F40" s="117"/>
      <c r="G40" s="117"/>
      <c r="H40" s="117"/>
      <c r="I40" s="117"/>
      <c r="J40" s="117"/>
      <c r="K40" s="117"/>
      <c r="L40" s="117"/>
      <c r="M40" s="117"/>
      <c r="N40" s="117"/>
      <c r="O40" s="117"/>
      <c r="P40" s="153"/>
    </row>
    <row r="41" spans="2:16" ht="15" customHeight="1" x14ac:dyDescent="0.15">
      <c r="B41" s="101" t="s">
        <v>345</v>
      </c>
      <c r="C41" s="526">
        <v>11</v>
      </c>
      <c r="D41" s="526">
        <v>11</v>
      </c>
      <c r="E41" s="526">
        <v>11</v>
      </c>
      <c r="F41" s="526">
        <v>11</v>
      </c>
      <c r="G41" s="526">
        <v>11</v>
      </c>
      <c r="H41" s="526">
        <v>11</v>
      </c>
      <c r="I41" s="526">
        <v>11</v>
      </c>
      <c r="J41" s="526">
        <v>11</v>
      </c>
      <c r="K41" s="526">
        <v>11</v>
      </c>
      <c r="L41" s="526">
        <v>11</v>
      </c>
      <c r="M41" s="526">
        <v>11</v>
      </c>
      <c r="N41" s="526">
        <v>11</v>
      </c>
      <c r="O41" s="280">
        <f>SUM(C41:N41)/12</f>
        <v>11</v>
      </c>
      <c r="P41" s="153"/>
    </row>
    <row r="42" spans="2:16" ht="15" customHeight="1" x14ac:dyDescent="0.15">
      <c r="B42" s="115" t="s">
        <v>348</v>
      </c>
      <c r="C42" s="477">
        <f t="shared" ref="C42:N42" si="17">C41*Unit3</f>
        <v>0</v>
      </c>
      <c r="D42" s="477">
        <f t="shared" si="17"/>
        <v>0</v>
      </c>
      <c r="E42" s="477">
        <f t="shared" si="17"/>
        <v>0</v>
      </c>
      <c r="F42" s="477">
        <f t="shared" si="17"/>
        <v>0</v>
      </c>
      <c r="G42" s="477">
        <f t="shared" si="17"/>
        <v>0</v>
      </c>
      <c r="H42" s="477">
        <f t="shared" si="17"/>
        <v>0</v>
      </c>
      <c r="I42" s="477">
        <f t="shared" si="17"/>
        <v>0</v>
      </c>
      <c r="J42" s="477">
        <f t="shared" si="17"/>
        <v>0</v>
      </c>
      <c r="K42" s="477">
        <f t="shared" si="17"/>
        <v>0</v>
      </c>
      <c r="L42" s="477">
        <f t="shared" si="17"/>
        <v>0</v>
      </c>
      <c r="M42" s="477">
        <f t="shared" si="17"/>
        <v>0</v>
      </c>
      <c r="N42" s="477">
        <f t="shared" si="17"/>
        <v>0</v>
      </c>
      <c r="O42" s="478">
        <f>SUM(C42:N42)</f>
        <v>0</v>
      </c>
      <c r="P42" s="153"/>
    </row>
    <row r="43" spans="2:16" ht="15" customHeight="1" thickBot="1" x14ac:dyDescent="0.2">
      <c r="B43" s="107" t="s">
        <v>356</v>
      </c>
      <c r="C43" s="450" t="e">
        <f t="shared" ref="C43:N43" si="18">IF(C41=0,0,ROUNDUP(C41/$F$10,))</f>
        <v>#DIV/0!</v>
      </c>
      <c r="D43" s="450" t="e">
        <f t="shared" si="18"/>
        <v>#DIV/0!</v>
      </c>
      <c r="E43" s="450" t="e">
        <f t="shared" si="18"/>
        <v>#DIV/0!</v>
      </c>
      <c r="F43" s="450" t="e">
        <f t="shared" si="18"/>
        <v>#DIV/0!</v>
      </c>
      <c r="G43" s="450" t="e">
        <f t="shared" si="18"/>
        <v>#DIV/0!</v>
      </c>
      <c r="H43" s="450" t="e">
        <f t="shared" si="18"/>
        <v>#DIV/0!</v>
      </c>
      <c r="I43" s="450" t="e">
        <f t="shared" si="18"/>
        <v>#DIV/0!</v>
      </c>
      <c r="J43" s="450" t="e">
        <f t="shared" si="18"/>
        <v>#DIV/0!</v>
      </c>
      <c r="K43" s="450" t="e">
        <f t="shared" si="18"/>
        <v>#DIV/0!</v>
      </c>
      <c r="L43" s="450" t="e">
        <f t="shared" si="18"/>
        <v>#DIV/0!</v>
      </c>
      <c r="M43" s="450" t="e">
        <f t="shared" si="18"/>
        <v>#DIV/0!</v>
      </c>
      <c r="N43" s="450" t="e">
        <f t="shared" si="18"/>
        <v>#DIV/0!</v>
      </c>
      <c r="O43" s="116"/>
      <c r="P43" s="153"/>
    </row>
    <row r="44" spans="2:16" ht="15" customHeight="1" thickBot="1" x14ac:dyDescent="0.2">
      <c r="B44" s="107" t="s">
        <v>463</v>
      </c>
      <c r="C44" s="449" t="e">
        <f>C43*'Pay Calculator'!$C$38</f>
        <v>#DIV/0!</v>
      </c>
      <c r="D44" s="449" t="e">
        <f>D43*'Pay Calculator'!$C$38</f>
        <v>#DIV/0!</v>
      </c>
      <c r="E44" s="449" t="e">
        <f>E43*'Pay Calculator'!$C$38</f>
        <v>#DIV/0!</v>
      </c>
      <c r="F44" s="449" t="e">
        <f>F43*'Pay Calculator'!$C$38</f>
        <v>#DIV/0!</v>
      </c>
      <c r="G44" s="449" t="e">
        <f>G43*'Pay Calculator'!$C$38</f>
        <v>#DIV/0!</v>
      </c>
      <c r="H44" s="449" t="e">
        <f>H43*'Pay Calculator'!$C$38</f>
        <v>#DIV/0!</v>
      </c>
      <c r="I44" s="449" t="e">
        <f>I43*'Pay Calculator'!$C$38</f>
        <v>#DIV/0!</v>
      </c>
      <c r="J44" s="449" t="e">
        <f>J43*'Pay Calculator'!$C$38</f>
        <v>#DIV/0!</v>
      </c>
      <c r="K44" s="449" t="e">
        <f>K43*'Pay Calculator'!$C$38</f>
        <v>#DIV/0!</v>
      </c>
      <c r="L44" s="449" t="e">
        <f>L43*'Pay Calculator'!$C$38</f>
        <v>#DIV/0!</v>
      </c>
      <c r="M44" s="449" t="e">
        <f>M43*'Pay Calculator'!$C$38</f>
        <v>#DIV/0!</v>
      </c>
      <c r="N44" s="449" t="e">
        <f>N43*'Pay Calculator'!$C$38</f>
        <v>#DIV/0!</v>
      </c>
      <c r="O44" s="478" t="e">
        <f>SUM(C44:N44)</f>
        <v>#DIV/0!</v>
      </c>
      <c r="P44" s="499" t="e">
        <f>O44/Category3_Annual_Sales</f>
        <v>#DIV/0!</v>
      </c>
    </row>
    <row r="45" spans="2:16" ht="15" customHeight="1" x14ac:dyDescent="0.15">
      <c r="B45" s="107" t="s">
        <v>462</v>
      </c>
      <c r="C45" s="449" t="e">
        <f>C42-C44</f>
        <v>#DIV/0!</v>
      </c>
      <c r="D45" s="449" t="e">
        <f t="shared" ref="D45:N45" si="19">D42-D44</f>
        <v>#DIV/0!</v>
      </c>
      <c r="E45" s="449" t="e">
        <f t="shared" si="19"/>
        <v>#DIV/0!</v>
      </c>
      <c r="F45" s="449" t="e">
        <f t="shared" si="19"/>
        <v>#DIV/0!</v>
      </c>
      <c r="G45" s="449" t="e">
        <f t="shared" si="19"/>
        <v>#DIV/0!</v>
      </c>
      <c r="H45" s="449" t="e">
        <f t="shared" si="19"/>
        <v>#DIV/0!</v>
      </c>
      <c r="I45" s="449" t="e">
        <f t="shared" si="19"/>
        <v>#DIV/0!</v>
      </c>
      <c r="J45" s="449" t="e">
        <f t="shared" si="19"/>
        <v>#DIV/0!</v>
      </c>
      <c r="K45" s="449" t="e">
        <f t="shared" si="19"/>
        <v>#DIV/0!</v>
      </c>
      <c r="L45" s="449" t="e">
        <f t="shared" si="19"/>
        <v>#DIV/0!</v>
      </c>
      <c r="M45" s="449" t="e">
        <f t="shared" si="19"/>
        <v>#DIV/0!</v>
      </c>
      <c r="N45" s="449" t="e">
        <f t="shared" si="19"/>
        <v>#DIV/0!</v>
      </c>
      <c r="O45" s="478" t="e">
        <f>SUM(C45:N45)</f>
        <v>#DIV/0!</v>
      </c>
      <c r="P45" s="153"/>
    </row>
    <row r="46" spans="2:16" ht="15" customHeight="1" x14ac:dyDescent="0.15">
      <c r="B46" s="115"/>
      <c r="C46" s="115"/>
      <c r="D46" s="115"/>
      <c r="E46" s="277" t="s">
        <v>350</v>
      </c>
      <c r="F46" s="277" t="s">
        <v>350</v>
      </c>
      <c r="G46" s="277" t="s">
        <v>350</v>
      </c>
      <c r="H46" s="277" t="s">
        <v>350</v>
      </c>
      <c r="I46" s="277" t="s">
        <v>350</v>
      </c>
      <c r="J46" s="277" t="s">
        <v>350</v>
      </c>
      <c r="K46" s="277" t="s">
        <v>350</v>
      </c>
      <c r="L46" s="277" t="s">
        <v>350</v>
      </c>
      <c r="M46" s="277" t="s">
        <v>350</v>
      </c>
      <c r="N46" s="277" t="s">
        <v>350</v>
      </c>
      <c r="O46" s="277" t="s">
        <v>350</v>
      </c>
      <c r="P46" s="153"/>
    </row>
    <row r="47" spans="2:16" ht="15" customHeight="1" thickBot="1" x14ac:dyDescent="0.2">
      <c r="B47" s="99" t="str">
        <f>IF(ISBLANK(B11), "Product 4", B11)</f>
        <v>Classroom or program 4</v>
      </c>
      <c r="C47" s="112"/>
      <c r="D47" s="112"/>
      <c r="E47" s="113"/>
      <c r="F47" s="113"/>
      <c r="G47" s="113"/>
      <c r="H47" s="113" t="s">
        <v>350</v>
      </c>
      <c r="I47" s="113"/>
      <c r="J47" s="113"/>
      <c r="K47" s="113"/>
      <c r="L47" s="113"/>
      <c r="M47" s="113"/>
      <c r="N47" s="113"/>
      <c r="O47" s="113"/>
      <c r="P47" s="153"/>
    </row>
    <row r="48" spans="2:16" ht="15" customHeight="1" x14ac:dyDescent="0.15">
      <c r="B48" s="101" t="s">
        <v>345</v>
      </c>
      <c r="C48" s="526">
        <v>15</v>
      </c>
      <c r="D48" s="526">
        <v>15</v>
      </c>
      <c r="E48" s="526">
        <v>15</v>
      </c>
      <c r="F48" s="526">
        <v>15</v>
      </c>
      <c r="G48" s="526">
        <v>15</v>
      </c>
      <c r="H48" s="526">
        <v>15</v>
      </c>
      <c r="I48" s="526">
        <v>15</v>
      </c>
      <c r="J48" s="526">
        <v>15</v>
      </c>
      <c r="K48" s="526">
        <v>15</v>
      </c>
      <c r="L48" s="526">
        <v>15</v>
      </c>
      <c r="M48" s="526">
        <v>15</v>
      </c>
      <c r="N48" s="526">
        <v>15</v>
      </c>
      <c r="O48" s="280">
        <f>SUM(C48:N48)/12</f>
        <v>15</v>
      </c>
      <c r="P48" s="153"/>
    </row>
    <row r="49" spans="2:16" ht="15" customHeight="1" x14ac:dyDescent="0.15">
      <c r="B49" s="115" t="s">
        <v>348</v>
      </c>
      <c r="C49" s="477">
        <f t="shared" ref="C49:N49" si="20">C48*Unit4</f>
        <v>0</v>
      </c>
      <c r="D49" s="477">
        <f t="shared" si="20"/>
        <v>0</v>
      </c>
      <c r="E49" s="477">
        <f t="shared" si="20"/>
        <v>0</v>
      </c>
      <c r="F49" s="477">
        <f t="shared" si="20"/>
        <v>0</v>
      </c>
      <c r="G49" s="477">
        <f t="shared" si="20"/>
        <v>0</v>
      </c>
      <c r="H49" s="477">
        <f t="shared" si="20"/>
        <v>0</v>
      </c>
      <c r="I49" s="477">
        <f t="shared" si="20"/>
        <v>0</v>
      </c>
      <c r="J49" s="477">
        <f t="shared" si="20"/>
        <v>0</v>
      </c>
      <c r="K49" s="477">
        <f t="shared" si="20"/>
        <v>0</v>
      </c>
      <c r="L49" s="477">
        <f t="shared" si="20"/>
        <v>0</v>
      </c>
      <c r="M49" s="477">
        <f t="shared" si="20"/>
        <v>0</v>
      </c>
      <c r="N49" s="477">
        <f t="shared" si="20"/>
        <v>0</v>
      </c>
      <c r="O49" s="105">
        <f>SUM(C49:N49)</f>
        <v>0</v>
      </c>
      <c r="P49" s="153"/>
    </row>
    <row r="50" spans="2:16" ht="15" customHeight="1" thickBot="1" x14ac:dyDescent="0.2">
      <c r="B50" s="107" t="s">
        <v>356</v>
      </c>
      <c r="C50" s="450" t="e">
        <f t="shared" ref="C50:N50" si="21">IF(C48=0,0,ROUNDUP(C48/$F$11,))</f>
        <v>#DIV/0!</v>
      </c>
      <c r="D50" s="450" t="e">
        <f t="shared" si="21"/>
        <v>#DIV/0!</v>
      </c>
      <c r="E50" s="450" t="e">
        <f t="shared" si="21"/>
        <v>#DIV/0!</v>
      </c>
      <c r="F50" s="450" t="e">
        <f t="shared" si="21"/>
        <v>#DIV/0!</v>
      </c>
      <c r="G50" s="450" t="e">
        <f t="shared" si="21"/>
        <v>#DIV/0!</v>
      </c>
      <c r="H50" s="450" t="e">
        <f t="shared" si="21"/>
        <v>#DIV/0!</v>
      </c>
      <c r="I50" s="450" t="e">
        <f t="shared" si="21"/>
        <v>#DIV/0!</v>
      </c>
      <c r="J50" s="450" t="e">
        <f t="shared" si="21"/>
        <v>#DIV/0!</v>
      </c>
      <c r="K50" s="450" t="e">
        <f t="shared" si="21"/>
        <v>#DIV/0!</v>
      </c>
      <c r="L50" s="450" t="e">
        <f t="shared" si="21"/>
        <v>#DIV/0!</v>
      </c>
      <c r="M50" s="450" t="e">
        <f t="shared" si="21"/>
        <v>#DIV/0!</v>
      </c>
      <c r="N50" s="450" t="e">
        <f t="shared" si="21"/>
        <v>#DIV/0!</v>
      </c>
      <c r="O50" s="116"/>
      <c r="P50" s="153"/>
    </row>
    <row r="51" spans="2:16" ht="15" customHeight="1" thickBot="1" x14ac:dyDescent="0.2">
      <c r="B51" s="107" t="s">
        <v>463</v>
      </c>
      <c r="C51" s="449" t="e">
        <f>C50*'Pay Calculator'!$C$50</f>
        <v>#DIV/0!</v>
      </c>
      <c r="D51" s="449" t="e">
        <f>D50*'Pay Calculator'!$C$50</f>
        <v>#DIV/0!</v>
      </c>
      <c r="E51" s="449" t="e">
        <f>E50*'Pay Calculator'!$C$50</f>
        <v>#DIV/0!</v>
      </c>
      <c r="F51" s="449" t="e">
        <f>F50*'Pay Calculator'!$C$50</f>
        <v>#DIV/0!</v>
      </c>
      <c r="G51" s="449" t="e">
        <f>G50*'Pay Calculator'!$C$50</f>
        <v>#DIV/0!</v>
      </c>
      <c r="H51" s="449" t="e">
        <f>H50*'Pay Calculator'!$C$50</f>
        <v>#DIV/0!</v>
      </c>
      <c r="I51" s="449" t="e">
        <f>I50*'Pay Calculator'!$C$50</f>
        <v>#DIV/0!</v>
      </c>
      <c r="J51" s="449" t="e">
        <f>J50*'Pay Calculator'!$C$50</f>
        <v>#DIV/0!</v>
      </c>
      <c r="K51" s="449" t="e">
        <f>K50*'Pay Calculator'!$C$50</f>
        <v>#DIV/0!</v>
      </c>
      <c r="L51" s="449" t="e">
        <f>L50*'Pay Calculator'!$C$50</f>
        <v>#DIV/0!</v>
      </c>
      <c r="M51" s="449" t="e">
        <f>M50*'Pay Calculator'!$C$50</f>
        <v>#DIV/0!</v>
      </c>
      <c r="N51" s="449" t="e">
        <f>N50*'Pay Calculator'!$C$50</f>
        <v>#DIV/0!</v>
      </c>
      <c r="O51" s="105" t="e">
        <f>SUM(C51:N51)</f>
        <v>#DIV/0!</v>
      </c>
      <c r="P51" s="499" t="e">
        <f>O51/Category4_Annual_Sales</f>
        <v>#DIV/0!</v>
      </c>
    </row>
    <row r="52" spans="2:16" ht="15" customHeight="1" x14ac:dyDescent="0.15">
      <c r="B52" s="107" t="s">
        <v>462</v>
      </c>
      <c r="C52" s="449" t="e">
        <f>C49-C51</f>
        <v>#DIV/0!</v>
      </c>
      <c r="D52" s="449" t="e">
        <f t="shared" ref="D52" si="22">D49-D51</f>
        <v>#DIV/0!</v>
      </c>
      <c r="E52" s="449" t="e">
        <f t="shared" ref="E52" si="23">E49-E51</f>
        <v>#DIV/0!</v>
      </c>
      <c r="F52" s="449" t="e">
        <f t="shared" ref="F52" si="24">F49-F51</f>
        <v>#DIV/0!</v>
      </c>
      <c r="G52" s="449" t="e">
        <f t="shared" ref="G52" si="25">G49-G51</f>
        <v>#DIV/0!</v>
      </c>
      <c r="H52" s="449" t="e">
        <f t="shared" ref="H52" si="26">H49-H51</f>
        <v>#DIV/0!</v>
      </c>
      <c r="I52" s="449" t="e">
        <f t="shared" ref="I52" si="27">I49-I51</f>
        <v>#DIV/0!</v>
      </c>
      <c r="J52" s="449" t="e">
        <f>J49-J51</f>
        <v>#DIV/0!</v>
      </c>
      <c r="K52" s="449" t="e">
        <f t="shared" ref="K52" si="28">K49-K51</f>
        <v>#DIV/0!</v>
      </c>
      <c r="L52" s="449" t="e">
        <f t="shared" ref="L52" si="29">L49-L51</f>
        <v>#DIV/0!</v>
      </c>
      <c r="M52" s="449" t="e">
        <f t="shared" ref="M52" si="30">M49-M51</f>
        <v>#DIV/0!</v>
      </c>
      <c r="N52" s="449" t="e">
        <f t="shared" ref="N52" si="31">N49-N51</f>
        <v>#DIV/0!</v>
      </c>
      <c r="O52" s="105" t="e">
        <f>SUM(C52:N52)</f>
        <v>#DIV/0!</v>
      </c>
      <c r="P52" s="153"/>
    </row>
    <row r="53" spans="2:16" ht="15" customHeight="1" x14ac:dyDescent="0.15">
      <c r="B53" s="118"/>
      <c r="C53" s="259"/>
      <c r="D53" s="259"/>
      <c r="E53" s="110"/>
      <c r="F53" s="110"/>
      <c r="G53" s="110"/>
      <c r="H53" s="119"/>
      <c r="I53" s="119"/>
      <c r="J53" s="119"/>
      <c r="K53" s="119"/>
      <c r="L53" s="119"/>
      <c r="M53" s="119"/>
      <c r="N53" s="119"/>
      <c r="O53" s="119"/>
      <c r="P53" s="153"/>
    </row>
    <row r="54" spans="2:16" ht="15" customHeight="1" thickBot="1" x14ac:dyDescent="0.2">
      <c r="B54" s="99" t="str">
        <f>IF(ISBLANK(B12), "Product 5", B12)</f>
        <v>Classroom or program 5</v>
      </c>
      <c r="C54" s="112"/>
      <c r="D54" s="112"/>
      <c r="E54" s="117"/>
      <c r="F54" s="117"/>
      <c r="G54" s="117"/>
      <c r="H54" s="117"/>
      <c r="I54" s="117"/>
      <c r="J54" s="117"/>
      <c r="K54" s="117"/>
      <c r="L54" s="117"/>
      <c r="M54" s="117"/>
      <c r="N54" s="117"/>
      <c r="O54" s="117"/>
      <c r="P54" s="153"/>
    </row>
    <row r="55" spans="2:16" ht="15" customHeight="1" x14ac:dyDescent="0.15">
      <c r="B55" s="101" t="s">
        <v>345</v>
      </c>
      <c r="C55" s="526">
        <v>10</v>
      </c>
      <c r="D55" s="526">
        <v>10</v>
      </c>
      <c r="E55" s="526">
        <v>10</v>
      </c>
      <c r="F55" s="526">
        <v>10</v>
      </c>
      <c r="G55" s="526">
        <v>10</v>
      </c>
      <c r="H55" s="526">
        <v>10</v>
      </c>
      <c r="I55" s="526">
        <v>10</v>
      </c>
      <c r="J55" s="526">
        <v>10</v>
      </c>
      <c r="K55" s="526">
        <v>10</v>
      </c>
      <c r="L55" s="526">
        <v>10</v>
      </c>
      <c r="M55" s="526">
        <v>10</v>
      </c>
      <c r="N55" s="526">
        <v>10</v>
      </c>
      <c r="O55" s="280">
        <f>SUM(C55:N55)/12</f>
        <v>10</v>
      </c>
      <c r="P55" s="153"/>
    </row>
    <row r="56" spans="2:16" ht="15" customHeight="1" x14ac:dyDescent="0.15">
      <c r="B56" s="115" t="s">
        <v>348</v>
      </c>
      <c r="C56" s="477">
        <f t="shared" ref="C56:N56" si="32">C55*Unit5</f>
        <v>0</v>
      </c>
      <c r="D56" s="477">
        <f t="shared" si="32"/>
        <v>0</v>
      </c>
      <c r="E56" s="477">
        <f t="shared" si="32"/>
        <v>0</v>
      </c>
      <c r="F56" s="477">
        <f t="shared" si="32"/>
        <v>0</v>
      </c>
      <c r="G56" s="477">
        <f t="shared" si="32"/>
        <v>0</v>
      </c>
      <c r="H56" s="477">
        <f t="shared" si="32"/>
        <v>0</v>
      </c>
      <c r="I56" s="477">
        <f t="shared" si="32"/>
        <v>0</v>
      </c>
      <c r="J56" s="477">
        <f t="shared" si="32"/>
        <v>0</v>
      </c>
      <c r="K56" s="477">
        <f t="shared" si="32"/>
        <v>0</v>
      </c>
      <c r="L56" s="477">
        <f t="shared" si="32"/>
        <v>0</v>
      </c>
      <c r="M56" s="477">
        <f t="shared" si="32"/>
        <v>0</v>
      </c>
      <c r="N56" s="477">
        <f t="shared" si="32"/>
        <v>0</v>
      </c>
      <c r="O56" s="105">
        <f>SUM(C56:N56)</f>
        <v>0</v>
      </c>
      <c r="P56" s="153"/>
    </row>
    <row r="57" spans="2:16" ht="15" customHeight="1" thickBot="1" x14ac:dyDescent="0.2">
      <c r="B57" s="107" t="s">
        <v>356</v>
      </c>
      <c r="C57" s="450" t="e">
        <f t="shared" ref="C57:N57" si="33">IF(C55=0,0,ROUNDUP(C55/$F$12,))</f>
        <v>#DIV/0!</v>
      </c>
      <c r="D57" s="450" t="e">
        <f t="shared" si="33"/>
        <v>#DIV/0!</v>
      </c>
      <c r="E57" s="450" t="e">
        <f t="shared" si="33"/>
        <v>#DIV/0!</v>
      </c>
      <c r="F57" s="450" t="e">
        <f t="shared" si="33"/>
        <v>#DIV/0!</v>
      </c>
      <c r="G57" s="450" t="e">
        <f t="shared" si="33"/>
        <v>#DIV/0!</v>
      </c>
      <c r="H57" s="450" t="e">
        <f t="shared" si="33"/>
        <v>#DIV/0!</v>
      </c>
      <c r="I57" s="450" t="e">
        <f t="shared" si="33"/>
        <v>#DIV/0!</v>
      </c>
      <c r="J57" s="450" t="e">
        <f t="shared" si="33"/>
        <v>#DIV/0!</v>
      </c>
      <c r="K57" s="450" t="e">
        <f t="shared" si="33"/>
        <v>#DIV/0!</v>
      </c>
      <c r="L57" s="450" t="e">
        <f t="shared" si="33"/>
        <v>#DIV/0!</v>
      </c>
      <c r="M57" s="450" t="e">
        <f t="shared" si="33"/>
        <v>#DIV/0!</v>
      </c>
      <c r="N57" s="450" t="e">
        <f t="shared" si="33"/>
        <v>#DIV/0!</v>
      </c>
      <c r="O57" s="116"/>
      <c r="P57" s="153"/>
    </row>
    <row r="58" spans="2:16" ht="15" customHeight="1" thickBot="1" x14ac:dyDescent="0.2">
      <c r="B58" s="107" t="s">
        <v>463</v>
      </c>
      <c r="C58" s="449" t="e">
        <f>C57*'Pay Calculator'!$C$62</f>
        <v>#DIV/0!</v>
      </c>
      <c r="D58" s="449" t="e">
        <f>D57*'Pay Calculator'!$C$62</f>
        <v>#DIV/0!</v>
      </c>
      <c r="E58" s="449" t="e">
        <f>E57*'Pay Calculator'!$C$62</f>
        <v>#DIV/0!</v>
      </c>
      <c r="F58" s="449" t="e">
        <f>F57*'Pay Calculator'!$C$62</f>
        <v>#DIV/0!</v>
      </c>
      <c r="G58" s="449" t="e">
        <f>G57*'Pay Calculator'!$C$62</f>
        <v>#DIV/0!</v>
      </c>
      <c r="H58" s="449" t="e">
        <f>H57*'Pay Calculator'!$C$62</f>
        <v>#DIV/0!</v>
      </c>
      <c r="I58" s="449" t="e">
        <f>I57*'Pay Calculator'!$C$62</f>
        <v>#DIV/0!</v>
      </c>
      <c r="J58" s="449" t="e">
        <f>J57*'Pay Calculator'!$C$62</f>
        <v>#DIV/0!</v>
      </c>
      <c r="K58" s="449" t="e">
        <f>K57*'Pay Calculator'!$C$62</f>
        <v>#DIV/0!</v>
      </c>
      <c r="L58" s="449" t="e">
        <f>L57*'Pay Calculator'!$C$62</f>
        <v>#DIV/0!</v>
      </c>
      <c r="M58" s="449" t="e">
        <f>M57*'Pay Calculator'!$C$62</f>
        <v>#DIV/0!</v>
      </c>
      <c r="N58" s="449" t="e">
        <f>N57*'Pay Calculator'!$C$62</f>
        <v>#DIV/0!</v>
      </c>
      <c r="O58" s="105" t="e">
        <f>SUM(C58:N58)</f>
        <v>#DIV/0!</v>
      </c>
      <c r="P58" s="499" t="e">
        <f>O58/Category5_Annual_Sales</f>
        <v>#DIV/0!</v>
      </c>
    </row>
    <row r="59" spans="2:16" ht="15" customHeight="1" x14ac:dyDescent="0.15">
      <c r="B59" s="107" t="s">
        <v>462</v>
      </c>
      <c r="C59" s="449" t="e">
        <f>C56-C58</f>
        <v>#DIV/0!</v>
      </c>
      <c r="D59" s="449" t="e">
        <f t="shared" ref="D59:N59" si="34">D56-D58</f>
        <v>#DIV/0!</v>
      </c>
      <c r="E59" s="449" t="e">
        <f t="shared" si="34"/>
        <v>#DIV/0!</v>
      </c>
      <c r="F59" s="449" t="e">
        <f t="shared" si="34"/>
        <v>#DIV/0!</v>
      </c>
      <c r="G59" s="449" t="e">
        <f t="shared" si="34"/>
        <v>#DIV/0!</v>
      </c>
      <c r="H59" s="449" t="e">
        <f t="shared" si="34"/>
        <v>#DIV/0!</v>
      </c>
      <c r="I59" s="449" t="e">
        <f t="shared" si="34"/>
        <v>#DIV/0!</v>
      </c>
      <c r="J59" s="449" t="e">
        <f t="shared" si="34"/>
        <v>#DIV/0!</v>
      </c>
      <c r="K59" s="449" t="e">
        <f t="shared" si="34"/>
        <v>#DIV/0!</v>
      </c>
      <c r="L59" s="449" t="e">
        <f t="shared" si="34"/>
        <v>#DIV/0!</v>
      </c>
      <c r="M59" s="449" t="e">
        <f t="shared" si="34"/>
        <v>#DIV/0!</v>
      </c>
      <c r="N59" s="449" t="e">
        <f t="shared" si="34"/>
        <v>#DIV/0!</v>
      </c>
      <c r="O59" s="105" t="e">
        <f>SUM(C59:N59)</f>
        <v>#DIV/0!</v>
      </c>
      <c r="P59" s="153"/>
    </row>
    <row r="60" spans="2:16" ht="15" customHeight="1" x14ac:dyDescent="0.15">
      <c r="B60" s="118"/>
      <c r="C60" s="259"/>
      <c r="D60" s="259"/>
      <c r="E60" s="120"/>
      <c r="F60" s="120"/>
      <c r="G60" s="120"/>
      <c r="H60" s="120"/>
      <c r="I60" s="120"/>
      <c r="J60" s="120"/>
      <c r="K60" s="120"/>
      <c r="L60" s="120"/>
      <c r="M60" s="120"/>
      <c r="N60" s="120"/>
      <c r="O60" s="120"/>
      <c r="P60" s="153"/>
    </row>
    <row r="61" spans="2:16" ht="15" customHeight="1" thickBot="1" x14ac:dyDescent="0.2">
      <c r="B61" s="99" t="str">
        <f>IF(ISBLANK(B13), "Product 6", B13)</f>
        <v>Classroom or program 6</v>
      </c>
      <c r="C61" s="112"/>
      <c r="D61" s="112"/>
      <c r="E61" s="121"/>
      <c r="F61" s="121"/>
      <c r="G61" s="121"/>
      <c r="H61" s="121"/>
      <c r="I61" s="121"/>
      <c r="J61" s="121"/>
      <c r="K61" s="121"/>
      <c r="L61" s="121"/>
      <c r="M61" s="121"/>
      <c r="N61" s="121"/>
      <c r="O61" s="121"/>
      <c r="P61" s="153"/>
    </row>
    <row r="62" spans="2:16" ht="15" customHeight="1" x14ac:dyDescent="0.15">
      <c r="B62" s="101" t="s">
        <v>345</v>
      </c>
      <c r="C62" s="526">
        <v>11</v>
      </c>
      <c r="D62" s="526">
        <v>11</v>
      </c>
      <c r="E62" s="526">
        <v>11</v>
      </c>
      <c r="F62" s="526">
        <v>11</v>
      </c>
      <c r="G62" s="526">
        <v>11</v>
      </c>
      <c r="H62" s="526">
        <v>11</v>
      </c>
      <c r="I62" s="526">
        <v>11</v>
      </c>
      <c r="J62" s="526">
        <v>11</v>
      </c>
      <c r="K62" s="526">
        <v>11</v>
      </c>
      <c r="L62" s="526">
        <v>11</v>
      </c>
      <c r="M62" s="526"/>
      <c r="N62" s="526"/>
      <c r="O62" s="280">
        <f>SUM(C62:N62)/12</f>
        <v>9.1666666666666661</v>
      </c>
      <c r="P62" s="153"/>
    </row>
    <row r="63" spans="2:16" ht="15" customHeight="1" x14ac:dyDescent="0.15">
      <c r="B63" s="115" t="s">
        <v>348</v>
      </c>
      <c r="C63" s="479">
        <f t="shared" ref="C63:N63" si="35">C62*Unit6</f>
        <v>0</v>
      </c>
      <c r="D63" s="479">
        <f t="shared" si="35"/>
        <v>0</v>
      </c>
      <c r="E63" s="479">
        <f t="shared" si="35"/>
        <v>0</v>
      </c>
      <c r="F63" s="479">
        <f t="shared" si="35"/>
        <v>0</v>
      </c>
      <c r="G63" s="479">
        <f t="shared" si="35"/>
        <v>0</v>
      </c>
      <c r="H63" s="479">
        <f t="shared" si="35"/>
        <v>0</v>
      </c>
      <c r="I63" s="479">
        <f t="shared" si="35"/>
        <v>0</v>
      </c>
      <c r="J63" s="479">
        <f t="shared" si="35"/>
        <v>0</v>
      </c>
      <c r="K63" s="479">
        <f t="shared" si="35"/>
        <v>0</v>
      </c>
      <c r="L63" s="479">
        <f t="shared" si="35"/>
        <v>0</v>
      </c>
      <c r="M63" s="479">
        <f t="shared" si="35"/>
        <v>0</v>
      </c>
      <c r="N63" s="479">
        <f t="shared" si="35"/>
        <v>0</v>
      </c>
      <c r="O63" s="105">
        <f t="shared" ref="O63" si="36">SUM(C63:N63)</f>
        <v>0</v>
      </c>
      <c r="P63" s="153"/>
    </row>
    <row r="64" spans="2:16" ht="15" customHeight="1" thickBot="1" x14ac:dyDescent="0.2">
      <c r="B64" s="107" t="s">
        <v>356</v>
      </c>
      <c r="C64" s="497" t="e">
        <f t="shared" ref="C64:N64" si="37">IF(C62=0,0,ROUNDUP(C62/$F$13,))</f>
        <v>#DIV/0!</v>
      </c>
      <c r="D64" s="497" t="e">
        <f t="shared" si="37"/>
        <v>#DIV/0!</v>
      </c>
      <c r="E64" s="497" t="e">
        <f t="shared" si="37"/>
        <v>#DIV/0!</v>
      </c>
      <c r="F64" s="497" t="e">
        <f t="shared" si="37"/>
        <v>#DIV/0!</v>
      </c>
      <c r="G64" s="497" t="e">
        <f t="shared" si="37"/>
        <v>#DIV/0!</v>
      </c>
      <c r="H64" s="497" t="e">
        <f t="shared" si="37"/>
        <v>#DIV/0!</v>
      </c>
      <c r="I64" s="497" t="e">
        <f t="shared" si="37"/>
        <v>#DIV/0!</v>
      </c>
      <c r="J64" s="497" t="e">
        <f t="shared" si="37"/>
        <v>#DIV/0!</v>
      </c>
      <c r="K64" s="497" t="e">
        <f t="shared" si="37"/>
        <v>#DIV/0!</v>
      </c>
      <c r="L64" s="497" t="e">
        <f t="shared" si="37"/>
        <v>#DIV/0!</v>
      </c>
      <c r="M64" s="497">
        <f t="shared" si="37"/>
        <v>0</v>
      </c>
      <c r="N64" s="497">
        <f t="shared" si="37"/>
        <v>0</v>
      </c>
      <c r="O64" s="116"/>
      <c r="P64" s="153"/>
    </row>
    <row r="65" spans="2:16" ht="15" customHeight="1" thickBot="1" x14ac:dyDescent="0.2">
      <c r="B65" s="107" t="s">
        <v>463</v>
      </c>
      <c r="C65" s="449" t="e">
        <f>C64*'Pay Calculator'!$C$74</f>
        <v>#DIV/0!</v>
      </c>
      <c r="D65" s="449" t="e">
        <f>D64*'Pay Calculator'!$C$74</f>
        <v>#DIV/0!</v>
      </c>
      <c r="E65" s="449" t="e">
        <f>E64*'Pay Calculator'!$C$74</f>
        <v>#DIV/0!</v>
      </c>
      <c r="F65" s="449" t="e">
        <f>F64*'Pay Calculator'!$C$74</f>
        <v>#DIV/0!</v>
      </c>
      <c r="G65" s="449" t="e">
        <f>G64*'Pay Calculator'!$C$74</f>
        <v>#DIV/0!</v>
      </c>
      <c r="H65" s="449" t="e">
        <f>H64*'Pay Calculator'!$C$74</f>
        <v>#DIV/0!</v>
      </c>
      <c r="I65" s="449" t="e">
        <f>I64*'Pay Calculator'!$C$74</f>
        <v>#DIV/0!</v>
      </c>
      <c r="J65" s="449" t="e">
        <f>J64*'Pay Calculator'!$C$74</f>
        <v>#DIV/0!</v>
      </c>
      <c r="K65" s="449" t="e">
        <f>K64*'Pay Calculator'!$C$74</f>
        <v>#DIV/0!</v>
      </c>
      <c r="L65" s="449" t="e">
        <f>L64*'Pay Calculator'!$C$74</f>
        <v>#DIV/0!</v>
      </c>
      <c r="M65" s="449">
        <f>M64*'Pay Calculator'!$C$74</f>
        <v>0</v>
      </c>
      <c r="N65" s="449">
        <f>N64*'Pay Calculator'!$C$74</f>
        <v>0</v>
      </c>
      <c r="O65" s="478" t="e">
        <f>SUM(C65:N65)</f>
        <v>#DIV/0!</v>
      </c>
      <c r="P65" s="499" t="e">
        <f>O65/Category8_Annual_Sales</f>
        <v>#DIV/0!</v>
      </c>
    </row>
    <row r="66" spans="2:16" ht="15" customHeight="1" x14ac:dyDescent="0.15">
      <c r="B66" s="107" t="s">
        <v>462</v>
      </c>
      <c r="C66" s="449" t="e">
        <f>C63-C65</f>
        <v>#DIV/0!</v>
      </c>
      <c r="D66" s="449" t="e">
        <f t="shared" ref="D66:N66" si="38">D63-D65</f>
        <v>#DIV/0!</v>
      </c>
      <c r="E66" s="449" t="e">
        <f t="shared" si="38"/>
        <v>#DIV/0!</v>
      </c>
      <c r="F66" s="449" t="e">
        <f t="shared" si="38"/>
        <v>#DIV/0!</v>
      </c>
      <c r="G66" s="449" t="e">
        <f t="shared" si="38"/>
        <v>#DIV/0!</v>
      </c>
      <c r="H66" s="449" t="e">
        <f t="shared" si="38"/>
        <v>#DIV/0!</v>
      </c>
      <c r="I66" s="449" t="e">
        <f t="shared" si="38"/>
        <v>#DIV/0!</v>
      </c>
      <c r="J66" s="449" t="e">
        <f t="shared" si="38"/>
        <v>#DIV/0!</v>
      </c>
      <c r="K66" s="449" t="e">
        <f t="shared" si="38"/>
        <v>#DIV/0!</v>
      </c>
      <c r="L66" s="449" t="e">
        <f t="shared" si="38"/>
        <v>#DIV/0!</v>
      </c>
      <c r="M66" s="449">
        <f t="shared" si="38"/>
        <v>0</v>
      </c>
      <c r="N66" s="449">
        <f t="shared" si="38"/>
        <v>0</v>
      </c>
      <c r="O66" s="478" t="e">
        <f>SUM(C66:N66)</f>
        <v>#DIV/0!</v>
      </c>
      <c r="P66" s="500" t="s">
        <v>350</v>
      </c>
    </row>
    <row r="67" spans="2:16" ht="15" customHeight="1" x14ac:dyDescent="0.15">
      <c r="B67" s="118"/>
      <c r="C67" s="452"/>
      <c r="D67" s="452"/>
      <c r="E67" s="453"/>
      <c r="F67" s="453"/>
      <c r="G67" s="453"/>
      <c r="H67" s="453"/>
      <c r="I67" s="453"/>
      <c r="J67" s="453"/>
      <c r="K67" s="453"/>
      <c r="L67" s="453"/>
      <c r="M67" s="453"/>
      <c r="N67" s="453"/>
      <c r="O67" s="453"/>
      <c r="P67" s="153"/>
    </row>
    <row r="68" spans="2:16" ht="15" customHeight="1" thickBot="1" x14ac:dyDescent="0.2">
      <c r="B68" s="99" t="str">
        <f>IF(ISBLANK(B14), "Product 7", B14)</f>
        <v>Classroom or program 7</v>
      </c>
      <c r="C68" s="112"/>
      <c r="D68" s="112"/>
      <c r="E68" s="121"/>
      <c r="F68" s="121"/>
      <c r="G68" s="121"/>
      <c r="H68" s="121"/>
      <c r="I68" s="121"/>
      <c r="J68" s="121"/>
      <c r="K68" s="121"/>
      <c r="L68" s="121"/>
      <c r="M68" s="121"/>
      <c r="N68" s="121"/>
      <c r="O68" s="121"/>
      <c r="P68" s="153"/>
    </row>
    <row r="69" spans="2:16" ht="15" customHeight="1" x14ac:dyDescent="0.15">
      <c r="B69" s="101" t="s">
        <v>345</v>
      </c>
      <c r="C69" s="526">
        <v>8</v>
      </c>
      <c r="D69" s="526">
        <v>8</v>
      </c>
      <c r="E69" s="526">
        <v>8</v>
      </c>
      <c r="F69" s="526">
        <v>8</v>
      </c>
      <c r="G69" s="526">
        <v>8</v>
      </c>
      <c r="H69" s="526">
        <v>8</v>
      </c>
      <c r="I69" s="526">
        <v>8</v>
      </c>
      <c r="J69" s="526">
        <v>8</v>
      </c>
      <c r="K69" s="526">
        <v>8</v>
      </c>
      <c r="L69" s="526">
        <v>8</v>
      </c>
      <c r="M69" s="526"/>
      <c r="N69" s="526"/>
      <c r="O69" s="280">
        <f>SUM(C69:N69)/12</f>
        <v>6.666666666666667</v>
      </c>
      <c r="P69" s="153"/>
    </row>
    <row r="70" spans="2:16" ht="15" customHeight="1" x14ac:dyDescent="0.15">
      <c r="B70" s="115" t="s">
        <v>348</v>
      </c>
      <c r="C70" s="479">
        <f>C69*Unit7</f>
        <v>0</v>
      </c>
      <c r="D70" s="479">
        <f t="shared" ref="D70:N70" si="39">D69*Unit7</f>
        <v>0</v>
      </c>
      <c r="E70" s="479">
        <f t="shared" si="39"/>
        <v>0</v>
      </c>
      <c r="F70" s="479">
        <f t="shared" si="39"/>
        <v>0</v>
      </c>
      <c r="G70" s="479">
        <f t="shared" si="39"/>
        <v>0</v>
      </c>
      <c r="H70" s="479">
        <f t="shared" si="39"/>
        <v>0</v>
      </c>
      <c r="I70" s="479">
        <f t="shared" si="39"/>
        <v>0</v>
      </c>
      <c r="J70" s="479">
        <f t="shared" si="39"/>
        <v>0</v>
      </c>
      <c r="K70" s="479">
        <f t="shared" si="39"/>
        <v>0</v>
      </c>
      <c r="L70" s="479">
        <f t="shared" si="39"/>
        <v>0</v>
      </c>
      <c r="M70" s="479">
        <f t="shared" si="39"/>
        <v>0</v>
      </c>
      <c r="N70" s="479">
        <f t="shared" si="39"/>
        <v>0</v>
      </c>
      <c r="O70" s="105">
        <f>SUM(C70:N70)</f>
        <v>0</v>
      </c>
      <c r="P70" s="153"/>
    </row>
    <row r="71" spans="2:16" ht="15" customHeight="1" thickBot="1" x14ac:dyDescent="0.2">
      <c r="B71" s="107" t="s">
        <v>356</v>
      </c>
      <c r="C71" s="497" t="e">
        <f t="shared" ref="C71:N71" si="40">IF(C69=0,0,ROUNDUP(C69/$F$14,))</f>
        <v>#DIV/0!</v>
      </c>
      <c r="D71" s="497" t="e">
        <f t="shared" si="40"/>
        <v>#DIV/0!</v>
      </c>
      <c r="E71" s="497" t="e">
        <f t="shared" si="40"/>
        <v>#DIV/0!</v>
      </c>
      <c r="F71" s="497" t="e">
        <f t="shared" si="40"/>
        <v>#DIV/0!</v>
      </c>
      <c r="G71" s="497" t="e">
        <f t="shared" si="40"/>
        <v>#DIV/0!</v>
      </c>
      <c r="H71" s="497" t="e">
        <f t="shared" si="40"/>
        <v>#DIV/0!</v>
      </c>
      <c r="I71" s="497" t="e">
        <f t="shared" si="40"/>
        <v>#DIV/0!</v>
      </c>
      <c r="J71" s="497" t="e">
        <f t="shared" si="40"/>
        <v>#DIV/0!</v>
      </c>
      <c r="K71" s="497" t="e">
        <f t="shared" si="40"/>
        <v>#DIV/0!</v>
      </c>
      <c r="L71" s="497" t="e">
        <f t="shared" si="40"/>
        <v>#DIV/0!</v>
      </c>
      <c r="M71" s="497">
        <f t="shared" si="40"/>
        <v>0</v>
      </c>
      <c r="N71" s="497">
        <f t="shared" si="40"/>
        <v>0</v>
      </c>
      <c r="O71" s="116"/>
      <c r="P71" s="153"/>
    </row>
    <row r="72" spans="2:16" ht="15" customHeight="1" thickBot="1" x14ac:dyDescent="0.2">
      <c r="B72" s="107" t="s">
        <v>463</v>
      </c>
      <c r="C72" s="449" t="e">
        <f>C71*'Pay Calculator'!$C$86</f>
        <v>#DIV/0!</v>
      </c>
      <c r="D72" s="449" t="e">
        <f>D71*'Pay Calculator'!$C$86</f>
        <v>#DIV/0!</v>
      </c>
      <c r="E72" s="449" t="e">
        <f>E71*'Pay Calculator'!$C$86</f>
        <v>#DIV/0!</v>
      </c>
      <c r="F72" s="449" t="e">
        <f>F71*'Pay Calculator'!$C$86</f>
        <v>#DIV/0!</v>
      </c>
      <c r="G72" s="449" t="e">
        <f>G71*'Pay Calculator'!$C$86</f>
        <v>#DIV/0!</v>
      </c>
      <c r="H72" s="449" t="e">
        <f>H71*'Pay Calculator'!$C$86</f>
        <v>#DIV/0!</v>
      </c>
      <c r="I72" s="449" t="e">
        <f>I71*'Pay Calculator'!$C$86</f>
        <v>#DIV/0!</v>
      </c>
      <c r="J72" s="449" t="e">
        <f>J71*'Pay Calculator'!$C$86</f>
        <v>#DIV/0!</v>
      </c>
      <c r="K72" s="449" t="e">
        <f>K71*'Pay Calculator'!$C$86</f>
        <v>#DIV/0!</v>
      </c>
      <c r="L72" s="449" t="e">
        <f>L71*'Pay Calculator'!$C$86</f>
        <v>#DIV/0!</v>
      </c>
      <c r="M72" s="449">
        <f>M71*'Pay Calculator'!$C$86</f>
        <v>0</v>
      </c>
      <c r="N72" s="449">
        <f>N71*'Pay Calculator'!$C$86</f>
        <v>0</v>
      </c>
      <c r="O72" s="478" t="e">
        <f>SUM(C72:N72)</f>
        <v>#DIV/0!</v>
      </c>
      <c r="P72" s="499" t="e">
        <f>O72/category7_Annual_sales</f>
        <v>#DIV/0!</v>
      </c>
    </row>
    <row r="73" spans="2:16" ht="15" customHeight="1" x14ac:dyDescent="0.15">
      <c r="B73" s="107" t="s">
        <v>462</v>
      </c>
      <c r="C73" s="449" t="e">
        <f>C70-C72</f>
        <v>#DIV/0!</v>
      </c>
      <c r="D73" s="449" t="e">
        <f t="shared" ref="D73:N73" si="41">D70-D72</f>
        <v>#DIV/0!</v>
      </c>
      <c r="E73" s="449" t="e">
        <f t="shared" si="41"/>
        <v>#DIV/0!</v>
      </c>
      <c r="F73" s="449" t="e">
        <f t="shared" si="41"/>
        <v>#DIV/0!</v>
      </c>
      <c r="G73" s="449" t="e">
        <f t="shared" si="41"/>
        <v>#DIV/0!</v>
      </c>
      <c r="H73" s="449" t="e">
        <f t="shared" si="41"/>
        <v>#DIV/0!</v>
      </c>
      <c r="I73" s="449" t="e">
        <f t="shared" si="41"/>
        <v>#DIV/0!</v>
      </c>
      <c r="J73" s="449" t="e">
        <f t="shared" si="41"/>
        <v>#DIV/0!</v>
      </c>
      <c r="K73" s="449" t="e">
        <f t="shared" si="41"/>
        <v>#DIV/0!</v>
      </c>
      <c r="L73" s="449" t="e">
        <f t="shared" si="41"/>
        <v>#DIV/0!</v>
      </c>
      <c r="M73" s="449">
        <f t="shared" si="41"/>
        <v>0</v>
      </c>
      <c r="N73" s="449">
        <f t="shared" si="41"/>
        <v>0</v>
      </c>
      <c r="O73" s="478" t="e">
        <f>category7_Annual_sales-O72</f>
        <v>#DIV/0!</v>
      </c>
      <c r="P73" s="153"/>
    </row>
    <row r="74" spans="2:16" ht="15" customHeight="1" x14ac:dyDescent="0.15">
      <c r="B74" s="104"/>
      <c r="C74" s="104"/>
      <c r="D74" s="104"/>
      <c r="E74" s="439"/>
      <c r="F74" s="439"/>
      <c r="G74" s="439"/>
      <c r="H74" s="439"/>
      <c r="I74" s="439"/>
      <c r="J74" s="439"/>
      <c r="K74" s="439"/>
      <c r="L74" s="439"/>
      <c r="M74" s="439"/>
      <c r="N74" s="439"/>
      <c r="O74" s="439"/>
      <c r="P74" s="153"/>
    </row>
    <row r="75" spans="2:16" ht="15" customHeight="1" thickBot="1" x14ac:dyDescent="0.2">
      <c r="B75" s="99" t="str">
        <f>IF(ISBLANK(B15), "Product 8", B15)</f>
        <v>Classroom or program 8</v>
      </c>
      <c r="C75" s="112"/>
      <c r="D75" s="112"/>
      <c r="E75" s="121"/>
      <c r="F75" s="121"/>
      <c r="G75" s="121"/>
      <c r="H75" s="121"/>
      <c r="I75" s="121"/>
      <c r="J75" s="121"/>
      <c r="K75" s="121"/>
      <c r="L75" s="121"/>
      <c r="M75" s="121"/>
      <c r="N75" s="121"/>
      <c r="O75" s="121"/>
      <c r="P75" s="153"/>
    </row>
    <row r="76" spans="2:16" ht="15" customHeight="1" x14ac:dyDescent="0.15">
      <c r="B76" s="101" t="s">
        <v>346</v>
      </c>
      <c r="C76" s="526">
        <v>15</v>
      </c>
      <c r="D76" s="526">
        <v>15</v>
      </c>
      <c r="E76" s="526">
        <v>15</v>
      </c>
      <c r="F76" s="526">
        <v>15</v>
      </c>
      <c r="G76" s="526">
        <v>15</v>
      </c>
      <c r="H76" s="526">
        <v>15</v>
      </c>
      <c r="I76" s="526">
        <v>15</v>
      </c>
      <c r="J76" s="526">
        <v>15</v>
      </c>
      <c r="K76" s="526">
        <v>15</v>
      </c>
      <c r="L76" s="526">
        <v>15</v>
      </c>
      <c r="M76" s="526"/>
      <c r="N76" s="526"/>
      <c r="O76" s="280">
        <f>SUM(C76:N76)/12</f>
        <v>12.5</v>
      </c>
      <c r="P76" s="153"/>
    </row>
    <row r="77" spans="2:16" ht="15" customHeight="1" x14ac:dyDescent="0.15">
      <c r="B77" s="115" t="s">
        <v>348</v>
      </c>
      <c r="C77" s="479">
        <f t="shared" ref="C77:N77" si="42">C76*$E$15</f>
        <v>0</v>
      </c>
      <c r="D77" s="479">
        <f t="shared" si="42"/>
        <v>0</v>
      </c>
      <c r="E77" s="479">
        <f t="shared" si="42"/>
        <v>0</v>
      </c>
      <c r="F77" s="479">
        <f t="shared" si="42"/>
        <v>0</v>
      </c>
      <c r="G77" s="479">
        <f t="shared" si="42"/>
        <v>0</v>
      </c>
      <c r="H77" s="479">
        <f t="shared" si="42"/>
        <v>0</v>
      </c>
      <c r="I77" s="479">
        <f t="shared" si="42"/>
        <v>0</v>
      </c>
      <c r="J77" s="479">
        <f t="shared" si="42"/>
        <v>0</v>
      </c>
      <c r="K77" s="479">
        <f t="shared" si="42"/>
        <v>0</v>
      </c>
      <c r="L77" s="479">
        <f t="shared" si="42"/>
        <v>0</v>
      </c>
      <c r="M77" s="479">
        <f t="shared" si="42"/>
        <v>0</v>
      </c>
      <c r="N77" s="479">
        <f t="shared" si="42"/>
        <v>0</v>
      </c>
      <c r="O77" s="478">
        <f>SUM(C77:N77)</f>
        <v>0</v>
      </c>
      <c r="P77" s="153"/>
    </row>
    <row r="78" spans="2:16" ht="15" customHeight="1" thickBot="1" x14ac:dyDescent="0.2">
      <c r="B78" s="107" t="s">
        <v>356</v>
      </c>
      <c r="C78" s="450" t="e">
        <f t="shared" ref="C78:N78" si="43">IF(C76=0,0,ROUNDUP(C76/$F$15,))</f>
        <v>#DIV/0!</v>
      </c>
      <c r="D78" s="450" t="e">
        <f t="shared" si="43"/>
        <v>#DIV/0!</v>
      </c>
      <c r="E78" s="450" t="e">
        <f t="shared" si="43"/>
        <v>#DIV/0!</v>
      </c>
      <c r="F78" s="450" t="e">
        <f t="shared" si="43"/>
        <v>#DIV/0!</v>
      </c>
      <c r="G78" s="450" t="e">
        <f t="shared" si="43"/>
        <v>#DIV/0!</v>
      </c>
      <c r="H78" s="450" t="e">
        <f t="shared" si="43"/>
        <v>#DIV/0!</v>
      </c>
      <c r="I78" s="450" t="e">
        <f t="shared" si="43"/>
        <v>#DIV/0!</v>
      </c>
      <c r="J78" s="450" t="e">
        <f t="shared" si="43"/>
        <v>#DIV/0!</v>
      </c>
      <c r="K78" s="450" t="e">
        <f t="shared" si="43"/>
        <v>#DIV/0!</v>
      </c>
      <c r="L78" s="450" t="e">
        <f t="shared" si="43"/>
        <v>#DIV/0!</v>
      </c>
      <c r="M78" s="450">
        <f t="shared" si="43"/>
        <v>0</v>
      </c>
      <c r="N78" s="450">
        <f t="shared" si="43"/>
        <v>0</v>
      </c>
      <c r="O78" s="116"/>
      <c r="P78" s="153"/>
    </row>
    <row r="79" spans="2:16" ht="15" customHeight="1" thickBot="1" x14ac:dyDescent="0.2">
      <c r="B79" s="107" t="s">
        <v>463</v>
      </c>
      <c r="C79" s="449" t="e">
        <f>C78*'Pay Calculator'!$C$98</f>
        <v>#DIV/0!</v>
      </c>
      <c r="D79" s="449" t="e">
        <f>D78*'Pay Calculator'!$C$98</f>
        <v>#DIV/0!</v>
      </c>
      <c r="E79" s="449" t="e">
        <f>E78*'Pay Calculator'!$C$98</f>
        <v>#DIV/0!</v>
      </c>
      <c r="F79" s="449" t="e">
        <f>F78*'Pay Calculator'!$C$98</f>
        <v>#DIV/0!</v>
      </c>
      <c r="G79" s="449" t="e">
        <f>G78*'Pay Calculator'!$C$98</f>
        <v>#DIV/0!</v>
      </c>
      <c r="H79" s="449" t="e">
        <f>H78*'Pay Calculator'!$C$98</f>
        <v>#DIV/0!</v>
      </c>
      <c r="I79" s="449" t="e">
        <f>I78*'Pay Calculator'!$C$98</f>
        <v>#DIV/0!</v>
      </c>
      <c r="J79" s="449" t="e">
        <f>J78*'Pay Calculator'!$C$98</f>
        <v>#DIV/0!</v>
      </c>
      <c r="K79" s="449" t="e">
        <f>K78*'Pay Calculator'!$C$98</f>
        <v>#DIV/0!</v>
      </c>
      <c r="L79" s="449" t="e">
        <f>L78*'Pay Calculator'!$C$98</f>
        <v>#DIV/0!</v>
      </c>
      <c r="M79" s="449">
        <f>M78*'Pay Calculator'!$C$98</f>
        <v>0</v>
      </c>
      <c r="N79" s="449">
        <f>N78*'Pay Calculator'!$C$98</f>
        <v>0</v>
      </c>
      <c r="O79" s="478" t="e">
        <f>SUM(C79:N79)</f>
        <v>#DIV/0!</v>
      </c>
      <c r="P79" s="499" t="e">
        <f>O79/Category9_Annual_Sales</f>
        <v>#DIV/0!</v>
      </c>
    </row>
    <row r="80" spans="2:16" ht="15" customHeight="1" x14ac:dyDescent="0.15">
      <c r="B80" s="107" t="s">
        <v>462</v>
      </c>
      <c r="C80" s="449" t="e">
        <f>C77-C79</f>
        <v>#DIV/0!</v>
      </c>
      <c r="D80" s="449" t="e">
        <f t="shared" ref="D80:O80" si="44">D77-D79</f>
        <v>#DIV/0!</v>
      </c>
      <c r="E80" s="449" t="e">
        <f t="shared" si="44"/>
        <v>#DIV/0!</v>
      </c>
      <c r="F80" s="449" t="e">
        <f t="shared" si="44"/>
        <v>#DIV/0!</v>
      </c>
      <c r="G80" s="449" t="e">
        <f t="shared" si="44"/>
        <v>#DIV/0!</v>
      </c>
      <c r="H80" s="449" t="e">
        <f t="shared" si="44"/>
        <v>#DIV/0!</v>
      </c>
      <c r="I80" s="449" t="e">
        <f t="shared" si="44"/>
        <v>#DIV/0!</v>
      </c>
      <c r="J80" s="449" t="e">
        <f t="shared" si="44"/>
        <v>#DIV/0!</v>
      </c>
      <c r="K80" s="449" t="e">
        <f t="shared" si="44"/>
        <v>#DIV/0!</v>
      </c>
      <c r="L80" s="449" t="e">
        <f t="shared" si="44"/>
        <v>#DIV/0!</v>
      </c>
      <c r="M80" s="449">
        <f t="shared" si="44"/>
        <v>0</v>
      </c>
      <c r="N80" s="449">
        <f t="shared" si="44"/>
        <v>0</v>
      </c>
      <c r="O80" s="480" t="e">
        <f t="shared" si="44"/>
        <v>#DIV/0!</v>
      </c>
      <c r="P80" s="153"/>
    </row>
    <row r="81" spans="2:15" ht="15" hidden="1" customHeight="1" x14ac:dyDescent="0.15">
      <c r="B81" s="104"/>
      <c r="C81" s="104"/>
      <c r="D81" s="104"/>
      <c r="E81" s="439"/>
      <c r="F81" s="439"/>
      <c r="G81" s="439"/>
      <c r="H81" s="439"/>
      <c r="I81" s="439"/>
      <c r="J81" s="439"/>
      <c r="K81" s="439"/>
      <c r="L81" s="439"/>
      <c r="M81" s="439"/>
      <c r="N81" s="439"/>
      <c r="O81" s="439"/>
    </row>
    <row r="82" spans="2:15" ht="15" hidden="1" customHeight="1" x14ac:dyDescent="0.15">
      <c r="B82" s="99"/>
      <c r="C82" s="112"/>
      <c r="D82" s="112"/>
      <c r="E82" s="121"/>
      <c r="F82" s="121"/>
      <c r="G82" s="121"/>
      <c r="H82" s="121"/>
      <c r="I82" s="121"/>
      <c r="J82" s="121"/>
      <c r="K82" s="121"/>
      <c r="L82" s="121"/>
      <c r="M82" s="121"/>
      <c r="N82" s="121"/>
      <c r="O82" s="121"/>
    </row>
    <row r="83" spans="2:15" ht="15" hidden="1" customHeight="1" x14ac:dyDescent="0.15">
      <c r="B83" s="101"/>
      <c r="C83" s="101"/>
      <c r="D83" s="101"/>
      <c r="E83" s="131"/>
      <c r="F83" s="131"/>
      <c r="G83" s="131"/>
      <c r="H83" s="131"/>
      <c r="I83" s="131"/>
      <c r="J83" s="131"/>
      <c r="K83" s="131"/>
      <c r="L83" s="131"/>
      <c r="M83" s="131"/>
      <c r="N83" s="131"/>
      <c r="O83" s="131"/>
    </row>
    <row r="84" spans="2:15" ht="15" hidden="1" customHeight="1" x14ac:dyDescent="0.15">
      <c r="B84" s="115"/>
      <c r="C84" s="115"/>
      <c r="D84" s="115"/>
      <c r="E84" s="278"/>
      <c r="F84" s="278"/>
      <c r="G84" s="278"/>
      <c r="H84" s="278"/>
      <c r="I84" s="278"/>
      <c r="J84" s="278"/>
      <c r="K84" s="278"/>
      <c r="L84" s="278"/>
      <c r="M84" s="278"/>
      <c r="N84" s="278"/>
      <c r="O84" s="278"/>
    </row>
    <row r="85" spans="2:15" ht="15" hidden="1" customHeight="1" x14ac:dyDescent="0.15">
      <c r="B85" s="122"/>
      <c r="C85" s="122"/>
      <c r="D85" s="104"/>
      <c r="E85" s="439"/>
      <c r="F85" s="439"/>
      <c r="G85" s="439"/>
      <c r="H85" s="439"/>
      <c r="I85" s="439"/>
      <c r="J85" s="439"/>
      <c r="K85" s="439"/>
      <c r="L85" s="439"/>
      <c r="M85" s="439"/>
      <c r="N85" s="439"/>
      <c r="O85" s="439"/>
    </row>
    <row r="86" spans="2:15" ht="20" hidden="1" customHeight="1" x14ac:dyDescent="0.15">
      <c r="B86" s="443"/>
      <c r="C86" s="443"/>
      <c r="D86" s="123"/>
      <c r="E86" s="279"/>
      <c r="F86" s="279"/>
      <c r="G86" s="279"/>
      <c r="H86" s="279"/>
      <c r="I86" s="279"/>
      <c r="J86" s="279"/>
      <c r="K86" s="279"/>
      <c r="L86" s="279"/>
      <c r="M86" s="279"/>
      <c r="N86" s="279"/>
      <c r="O86" s="279"/>
    </row>
    <row r="87" spans="2:15" ht="15" hidden="1" customHeight="1" x14ac:dyDescent="0.15">
      <c r="B87" s="104"/>
      <c r="C87" s="104"/>
      <c r="D87" s="123"/>
      <c r="E87" s="279"/>
      <c r="F87" s="279"/>
      <c r="G87" s="279"/>
      <c r="H87" s="279"/>
      <c r="I87" s="279"/>
      <c r="J87" s="279"/>
      <c r="K87" s="279"/>
      <c r="L87" s="279"/>
      <c r="M87" s="279"/>
      <c r="N87" s="279"/>
      <c r="O87" s="279"/>
    </row>
    <row r="88" spans="2:15" ht="15" hidden="1" customHeight="1" x14ac:dyDescent="0.15">
      <c r="B88" s="104"/>
      <c r="C88" s="104"/>
      <c r="D88" s="123"/>
      <c r="E88" s="279"/>
      <c r="F88" s="279"/>
      <c r="G88" s="279"/>
      <c r="H88" s="279"/>
      <c r="I88" s="279"/>
      <c r="J88" s="279"/>
      <c r="K88" s="279"/>
      <c r="L88" s="279"/>
      <c r="M88" s="279"/>
      <c r="N88" s="279"/>
      <c r="O88" s="279"/>
    </row>
    <row r="89" spans="2:15" ht="15" hidden="1" customHeight="1" x14ac:dyDescent="0.15">
      <c r="B89" s="104"/>
      <c r="C89" s="104"/>
      <c r="D89" s="123"/>
      <c r="E89" s="279"/>
      <c r="F89" s="279"/>
      <c r="G89" s="279"/>
      <c r="H89" s="279"/>
      <c r="I89" s="279"/>
      <c r="J89" s="279"/>
      <c r="K89" s="279"/>
      <c r="L89" s="279"/>
      <c r="M89" s="279"/>
      <c r="N89" s="279"/>
      <c r="O89" s="279"/>
    </row>
    <row r="90" spans="2:15" ht="15" hidden="1" customHeight="1" x14ac:dyDescent="0.15">
      <c r="B90" s="443"/>
      <c r="C90" s="443"/>
      <c r="D90" s="123"/>
      <c r="E90" s="279"/>
      <c r="F90" s="279"/>
      <c r="G90" s="279"/>
      <c r="H90" s="279"/>
      <c r="I90" s="279"/>
      <c r="J90" s="279"/>
      <c r="K90" s="279"/>
      <c r="L90" s="279"/>
      <c r="M90" s="279"/>
      <c r="N90" s="279"/>
      <c r="O90" s="279"/>
    </row>
    <row r="91" spans="2:15" ht="15" hidden="1" customHeight="1" x14ac:dyDescent="0.15">
      <c r="B91" s="104"/>
      <c r="C91" s="104"/>
      <c r="D91" s="123"/>
      <c r="E91" s="279"/>
      <c r="F91" s="279"/>
      <c r="G91" s="279"/>
      <c r="H91" s="279"/>
      <c r="I91" s="279"/>
      <c r="J91" s="279"/>
      <c r="K91" s="279"/>
      <c r="L91" s="279"/>
      <c r="M91" s="279"/>
      <c r="N91" s="279"/>
      <c r="O91" s="279"/>
    </row>
    <row r="92" spans="2:15" ht="15" hidden="1" customHeight="1" x14ac:dyDescent="0.15">
      <c r="B92" s="104"/>
      <c r="C92" s="104"/>
      <c r="D92" s="123"/>
      <c r="E92" s="279"/>
      <c r="F92" s="279"/>
      <c r="G92" s="279"/>
      <c r="H92" s="279"/>
      <c r="I92" s="279"/>
      <c r="J92" s="279"/>
      <c r="K92" s="279"/>
      <c r="L92" s="279"/>
      <c r="M92" s="279"/>
      <c r="N92" s="279"/>
      <c r="O92" s="279"/>
    </row>
    <row r="93" spans="2:15" ht="15" hidden="1" customHeight="1" x14ac:dyDescent="0.15">
      <c r="B93" s="104"/>
      <c r="C93" s="104"/>
      <c r="D93" s="123"/>
      <c r="E93" s="279"/>
      <c r="F93" s="279"/>
      <c r="G93" s="279"/>
      <c r="H93" s="279"/>
      <c r="I93" s="279"/>
      <c r="J93" s="279"/>
      <c r="K93" s="279"/>
      <c r="L93" s="279"/>
      <c r="M93" s="279"/>
      <c r="N93" s="279"/>
      <c r="O93" s="279"/>
    </row>
    <row r="94" spans="2:15" ht="15" hidden="1" customHeight="1" x14ac:dyDescent="0.15">
      <c r="B94" s="443"/>
      <c r="C94" s="443"/>
      <c r="D94" s="123"/>
      <c r="E94" s="279"/>
      <c r="F94" s="279"/>
      <c r="G94" s="279"/>
      <c r="H94" s="279"/>
      <c r="I94" s="279"/>
      <c r="J94" s="279"/>
      <c r="K94" s="279"/>
      <c r="L94" s="279"/>
      <c r="M94" s="279"/>
      <c r="N94" s="279"/>
      <c r="O94" s="279"/>
    </row>
    <row r="95" spans="2:15" ht="15" hidden="1" customHeight="1" x14ac:dyDescent="0.15">
      <c r="B95" s="104"/>
      <c r="C95" s="104"/>
      <c r="D95" s="123"/>
      <c r="E95" s="279"/>
      <c r="F95" s="279"/>
      <c r="G95" s="279"/>
      <c r="H95" s="279"/>
      <c r="I95" s="279"/>
      <c r="J95" s="279"/>
      <c r="K95" s="279"/>
      <c r="L95" s="279"/>
      <c r="M95" s="279"/>
      <c r="N95" s="279"/>
      <c r="O95" s="279"/>
    </row>
    <row r="96" spans="2:15" ht="15" hidden="1" customHeight="1" x14ac:dyDescent="0.15">
      <c r="B96" s="104"/>
      <c r="C96" s="104"/>
      <c r="D96" s="123"/>
      <c r="E96" s="279"/>
      <c r="F96" s="279"/>
      <c r="G96" s="279"/>
      <c r="H96" s="279"/>
      <c r="I96" s="279"/>
      <c r="J96" s="279"/>
      <c r="K96" s="279"/>
      <c r="L96" s="279"/>
      <c r="M96" s="279"/>
      <c r="N96" s="279"/>
      <c r="O96" s="279"/>
    </row>
    <row r="97" spans="2:16" ht="15" customHeight="1" x14ac:dyDescent="0.15">
      <c r="B97" s="104"/>
      <c r="C97" s="104"/>
      <c r="D97" s="123"/>
      <c r="E97" s="279"/>
      <c r="F97" s="279"/>
      <c r="G97" s="279"/>
      <c r="H97" s="279"/>
      <c r="I97" s="279"/>
      <c r="J97" s="279"/>
      <c r="K97" s="279"/>
      <c r="L97" s="279"/>
      <c r="M97" s="279"/>
      <c r="N97" s="279"/>
      <c r="O97" s="279"/>
    </row>
    <row r="98" spans="2:16" ht="15" customHeight="1" thickBot="1" x14ac:dyDescent="0.2">
      <c r="B98" s="99" t="str">
        <f>IF(ISBLANK(B16), "Product 9", B16)</f>
        <v>Classroom or program 9</v>
      </c>
      <c r="C98" s="112"/>
      <c r="D98" s="112"/>
      <c r="E98" s="121"/>
      <c r="F98" s="121"/>
      <c r="G98" s="121"/>
      <c r="H98" s="121"/>
      <c r="I98" s="121"/>
      <c r="J98" s="121"/>
      <c r="K98" s="121"/>
      <c r="L98" s="121"/>
      <c r="M98" s="121"/>
      <c r="N98" s="121"/>
      <c r="O98" s="121"/>
    </row>
    <row r="99" spans="2:16" ht="15" customHeight="1" x14ac:dyDescent="0.15">
      <c r="B99" s="101" t="s">
        <v>346</v>
      </c>
      <c r="C99" s="526"/>
      <c r="D99" s="526"/>
      <c r="E99" s="526"/>
      <c r="F99" s="526"/>
      <c r="G99" s="526"/>
      <c r="H99" s="526"/>
      <c r="I99" s="526"/>
      <c r="J99" s="526"/>
      <c r="K99" s="526"/>
      <c r="L99" s="526"/>
      <c r="M99" s="526">
        <v>20</v>
      </c>
      <c r="N99" s="526">
        <v>20</v>
      </c>
      <c r="O99" s="280">
        <f>SUM(C99:N99)/12</f>
        <v>3.3333333333333335</v>
      </c>
    </row>
    <row r="100" spans="2:16" ht="15" customHeight="1" x14ac:dyDescent="0.15">
      <c r="B100" s="115" t="s">
        <v>348</v>
      </c>
      <c r="C100" s="479">
        <f>C99*$E$16</f>
        <v>0</v>
      </c>
      <c r="D100" s="479">
        <f t="shared" ref="D100:N100" si="45">D99*$E$16</f>
        <v>0</v>
      </c>
      <c r="E100" s="479">
        <f t="shared" si="45"/>
        <v>0</v>
      </c>
      <c r="F100" s="479">
        <f t="shared" si="45"/>
        <v>0</v>
      </c>
      <c r="G100" s="479">
        <f t="shared" si="45"/>
        <v>0</v>
      </c>
      <c r="H100" s="479">
        <f t="shared" si="45"/>
        <v>0</v>
      </c>
      <c r="I100" s="479">
        <f t="shared" si="45"/>
        <v>0</v>
      </c>
      <c r="J100" s="479">
        <f t="shared" si="45"/>
        <v>0</v>
      </c>
      <c r="K100" s="479">
        <f t="shared" si="45"/>
        <v>0</v>
      </c>
      <c r="L100" s="479">
        <f t="shared" si="45"/>
        <v>0</v>
      </c>
      <c r="M100" s="479">
        <f t="shared" si="45"/>
        <v>0</v>
      </c>
      <c r="N100" s="479">
        <f t="shared" si="45"/>
        <v>0</v>
      </c>
      <c r="O100" s="478">
        <f>SUM(C100:N100)</f>
        <v>0</v>
      </c>
    </row>
    <row r="101" spans="2:16" ht="15" customHeight="1" thickBot="1" x14ac:dyDescent="0.2">
      <c r="B101" s="107" t="s">
        <v>356</v>
      </c>
      <c r="C101" s="450">
        <f t="shared" ref="C101:N101" si="46">IF(C99=0,0,ROUNDUP(C99/$F$16,))</f>
        <v>0</v>
      </c>
      <c r="D101" s="450">
        <f t="shared" si="46"/>
        <v>0</v>
      </c>
      <c r="E101" s="450">
        <f t="shared" si="46"/>
        <v>0</v>
      </c>
      <c r="F101" s="450">
        <f t="shared" si="46"/>
        <v>0</v>
      </c>
      <c r="G101" s="450">
        <f t="shared" si="46"/>
        <v>0</v>
      </c>
      <c r="H101" s="450">
        <f t="shared" si="46"/>
        <v>0</v>
      </c>
      <c r="I101" s="450">
        <f t="shared" si="46"/>
        <v>0</v>
      </c>
      <c r="J101" s="450">
        <f t="shared" si="46"/>
        <v>0</v>
      </c>
      <c r="K101" s="450">
        <f t="shared" si="46"/>
        <v>0</v>
      </c>
      <c r="L101" s="450">
        <f t="shared" si="46"/>
        <v>0</v>
      </c>
      <c r="M101" s="450" t="e">
        <f t="shared" si="46"/>
        <v>#DIV/0!</v>
      </c>
      <c r="N101" s="450" t="e">
        <f t="shared" si="46"/>
        <v>#DIV/0!</v>
      </c>
      <c r="O101" s="116"/>
    </row>
    <row r="102" spans="2:16" ht="15" customHeight="1" thickBot="1" x14ac:dyDescent="0.2">
      <c r="B102" s="107" t="s">
        <v>463</v>
      </c>
      <c r="C102" s="449">
        <f>C101*'Pay Calculator'!$C$110</f>
        <v>0</v>
      </c>
      <c r="D102" s="449">
        <f>D101*'Pay Calculator'!$C$110</f>
        <v>0</v>
      </c>
      <c r="E102" s="449">
        <f>E101*'Pay Calculator'!$C$110</f>
        <v>0</v>
      </c>
      <c r="F102" s="449">
        <f>F101*'Pay Calculator'!$C$110</f>
        <v>0</v>
      </c>
      <c r="G102" s="449">
        <f>G101*'Pay Calculator'!$C$110</f>
        <v>0</v>
      </c>
      <c r="H102" s="449">
        <f>H101*'Pay Calculator'!$C$110</f>
        <v>0</v>
      </c>
      <c r="I102" s="449">
        <f>I101*'Pay Calculator'!$C$110</f>
        <v>0</v>
      </c>
      <c r="J102" s="449">
        <f>J101*'Pay Calculator'!$C$110</f>
        <v>0</v>
      </c>
      <c r="K102" s="449">
        <f>K101*'Pay Calculator'!$C$110</f>
        <v>0</v>
      </c>
      <c r="L102" s="449">
        <f>L101*'Pay Calculator'!$C$110</f>
        <v>0</v>
      </c>
      <c r="M102" s="449" t="e">
        <f>M101*'Pay Calculator'!$C$110</f>
        <v>#DIV/0!</v>
      </c>
      <c r="N102" s="449" t="e">
        <f>N101*'Pay Calculator'!$C$110</f>
        <v>#DIV/0!</v>
      </c>
      <c r="O102" s="478" t="e">
        <f>SUM(C102:N102)</f>
        <v>#DIV/0!</v>
      </c>
      <c r="P102" s="499" t="e">
        <f>O102/O100</f>
        <v>#DIV/0!</v>
      </c>
    </row>
    <row r="103" spans="2:16" ht="15" customHeight="1" x14ac:dyDescent="0.15">
      <c r="B103" s="107" t="s">
        <v>462</v>
      </c>
      <c r="C103" s="449">
        <f>C100-C102</f>
        <v>0</v>
      </c>
      <c r="D103" s="449">
        <f>D100-D102</f>
        <v>0</v>
      </c>
      <c r="E103" s="449">
        <f t="shared" ref="E103:O103" si="47">E100-E102</f>
        <v>0</v>
      </c>
      <c r="F103" s="449">
        <f t="shared" si="47"/>
        <v>0</v>
      </c>
      <c r="G103" s="449">
        <f t="shared" si="47"/>
        <v>0</v>
      </c>
      <c r="H103" s="449">
        <f t="shared" si="47"/>
        <v>0</v>
      </c>
      <c r="I103" s="449">
        <f t="shared" si="47"/>
        <v>0</v>
      </c>
      <c r="J103" s="449">
        <f t="shared" si="47"/>
        <v>0</v>
      </c>
      <c r="K103" s="449">
        <f t="shared" si="47"/>
        <v>0</v>
      </c>
      <c r="L103" s="449">
        <f t="shared" si="47"/>
        <v>0</v>
      </c>
      <c r="M103" s="449" t="e">
        <f t="shared" si="47"/>
        <v>#DIV/0!</v>
      </c>
      <c r="N103" s="449" t="e">
        <f t="shared" si="47"/>
        <v>#DIV/0!</v>
      </c>
      <c r="O103" s="480" t="e">
        <f t="shared" si="47"/>
        <v>#DIV/0!</v>
      </c>
    </row>
    <row r="104" spans="2:16" ht="15" customHeight="1" x14ac:dyDescent="0.15">
      <c r="B104" s="104"/>
      <c r="C104" s="104"/>
      <c r="D104" s="123"/>
      <c r="E104" s="279"/>
      <c r="F104" s="279"/>
      <c r="G104" s="279"/>
      <c r="H104" s="279"/>
      <c r="I104" s="279"/>
      <c r="J104" s="279"/>
      <c r="K104" s="279"/>
      <c r="L104" s="279"/>
      <c r="M104" s="279"/>
      <c r="N104" s="279"/>
      <c r="O104" s="279"/>
    </row>
    <row r="105" spans="2:16" ht="15" customHeight="1" thickBot="1" x14ac:dyDescent="0.2">
      <c r="B105" s="99" t="str">
        <f>IF(ISBLANK(B17), "Product 10", B17)</f>
        <v>Classroom or program 10</v>
      </c>
      <c r="C105" s="112"/>
      <c r="D105" s="112"/>
      <c r="E105" s="121"/>
      <c r="F105" s="121"/>
      <c r="G105" s="121"/>
      <c r="H105" s="121"/>
      <c r="I105" s="121"/>
      <c r="J105" s="121"/>
      <c r="K105" s="121"/>
      <c r="L105" s="121"/>
      <c r="M105" s="121"/>
      <c r="N105" s="121"/>
      <c r="O105" s="121"/>
    </row>
    <row r="106" spans="2:16" ht="15" customHeight="1" x14ac:dyDescent="0.15">
      <c r="B106" s="101" t="s">
        <v>346</v>
      </c>
      <c r="C106" s="526"/>
      <c r="D106" s="526"/>
      <c r="E106" s="526"/>
      <c r="F106" s="526"/>
      <c r="G106" s="526"/>
      <c r="H106" s="526"/>
      <c r="I106" s="526"/>
      <c r="J106" s="526"/>
      <c r="K106" s="526"/>
      <c r="L106" s="526"/>
      <c r="M106" s="526"/>
      <c r="N106" s="526"/>
      <c r="O106" s="280">
        <f>SUM(C106:N106)/12</f>
        <v>0</v>
      </c>
    </row>
    <row r="107" spans="2:16" ht="15" customHeight="1" x14ac:dyDescent="0.15">
      <c r="B107" s="115" t="s">
        <v>348</v>
      </c>
      <c r="C107" s="479">
        <f>C106*$E$17</f>
        <v>0</v>
      </c>
      <c r="D107" s="479">
        <f t="shared" ref="D107:N107" si="48">D106*$E$17</f>
        <v>0</v>
      </c>
      <c r="E107" s="479">
        <f t="shared" si="48"/>
        <v>0</v>
      </c>
      <c r="F107" s="479">
        <f t="shared" si="48"/>
        <v>0</v>
      </c>
      <c r="G107" s="479">
        <f t="shared" si="48"/>
        <v>0</v>
      </c>
      <c r="H107" s="479">
        <f t="shared" si="48"/>
        <v>0</v>
      </c>
      <c r="I107" s="479">
        <f t="shared" si="48"/>
        <v>0</v>
      </c>
      <c r="J107" s="479">
        <f t="shared" si="48"/>
        <v>0</v>
      </c>
      <c r="K107" s="479">
        <f t="shared" si="48"/>
        <v>0</v>
      </c>
      <c r="L107" s="479">
        <f t="shared" si="48"/>
        <v>0</v>
      </c>
      <c r="M107" s="479">
        <f t="shared" si="48"/>
        <v>0</v>
      </c>
      <c r="N107" s="479">
        <f t="shared" si="48"/>
        <v>0</v>
      </c>
      <c r="O107" s="478">
        <f>SUM(C107:N107)</f>
        <v>0</v>
      </c>
    </row>
    <row r="108" spans="2:16" ht="15" customHeight="1" thickBot="1" x14ac:dyDescent="0.2">
      <c r="B108" s="107" t="s">
        <v>356</v>
      </c>
      <c r="C108" s="450">
        <f t="shared" ref="C108:N108" si="49">IF(C106=0,0,ROUNDUP(C106/$F$17,))</f>
        <v>0</v>
      </c>
      <c r="D108" s="450">
        <f t="shared" si="49"/>
        <v>0</v>
      </c>
      <c r="E108" s="450">
        <f t="shared" si="49"/>
        <v>0</v>
      </c>
      <c r="F108" s="450">
        <f t="shared" si="49"/>
        <v>0</v>
      </c>
      <c r="G108" s="450">
        <f t="shared" si="49"/>
        <v>0</v>
      </c>
      <c r="H108" s="450">
        <f t="shared" si="49"/>
        <v>0</v>
      </c>
      <c r="I108" s="450">
        <f t="shared" si="49"/>
        <v>0</v>
      </c>
      <c r="J108" s="450">
        <f t="shared" si="49"/>
        <v>0</v>
      </c>
      <c r="K108" s="450">
        <f t="shared" si="49"/>
        <v>0</v>
      </c>
      <c r="L108" s="450">
        <f t="shared" si="49"/>
        <v>0</v>
      </c>
      <c r="M108" s="450">
        <f t="shared" si="49"/>
        <v>0</v>
      </c>
      <c r="N108" s="450">
        <f t="shared" si="49"/>
        <v>0</v>
      </c>
      <c r="O108" s="116"/>
    </row>
    <row r="109" spans="2:16" ht="15" customHeight="1" thickBot="1" x14ac:dyDescent="0.2">
      <c r="B109" s="107" t="s">
        <v>463</v>
      </c>
      <c r="C109" s="449">
        <f>C108*'Pay Calculator'!$C$122</f>
        <v>0</v>
      </c>
      <c r="D109" s="449">
        <f>D108*'Pay Calculator'!$C$110</f>
        <v>0</v>
      </c>
      <c r="E109" s="449">
        <f>E108*'Pay Calculator'!$C$110</f>
        <v>0</v>
      </c>
      <c r="F109" s="449">
        <f>F108*'Pay Calculator'!$C$110</f>
        <v>0</v>
      </c>
      <c r="G109" s="449">
        <f>G108*'Pay Calculator'!$C$110</f>
        <v>0</v>
      </c>
      <c r="H109" s="449">
        <f>H108*'Pay Calculator'!$C$110</f>
        <v>0</v>
      </c>
      <c r="I109" s="449">
        <f>I108*'Pay Calculator'!$C$110</f>
        <v>0</v>
      </c>
      <c r="J109" s="449">
        <f>J108*'Pay Calculator'!$C$110</f>
        <v>0</v>
      </c>
      <c r="K109" s="449">
        <f>K108*'Pay Calculator'!$C$110</f>
        <v>0</v>
      </c>
      <c r="L109" s="449">
        <f>L108*'Pay Calculator'!$C$110</f>
        <v>0</v>
      </c>
      <c r="M109" s="449">
        <f>M108*'Pay Calculator'!$C$110</f>
        <v>0</v>
      </c>
      <c r="N109" s="449">
        <f>N108*'Pay Calculator'!$C$110</f>
        <v>0</v>
      </c>
      <c r="O109" s="478">
        <f>SUM(C109:N109)</f>
        <v>0</v>
      </c>
      <c r="P109" s="499" t="e">
        <f>O109/O107</f>
        <v>#DIV/0!</v>
      </c>
    </row>
    <row r="110" spans="2:16" ht="15" customHeight="1" x14ac:dyDescent="0.15">
      <c r="B110" s="107" t="s">
        <v>462</v>
      </c>
      <c r="C110" s="449">
        <f>C107-C109</f>
        <v>0</v>
      </c>
      <c r="D110" s="449">
        <f>D107-D109</f>
        <v>0</v>
      </c>
      <c r="E110" s="449">
        <f t="shared" ref="E110:O110" si="50">E107-E109</f>
        <v>0</v>
      </c>
      <c r="F110" s="449">
        <f t="shared" si="50"/>
        <v>0</v>
      </c>
      <c r="G110" s="449">
        <f t="shared" si="50"/>
        <v>0</v>
      </c>
      <c r="H110" s="449">
        <f t="shared" si="50"/>
        <v>0</v>
      </c>
      <c r="I110" s="449">
        <f t="shared" si="50"/>
        <v>0</v>
      </c>
      <c r="J110" s="449">
        <f t="shared" si="50"/>
        <v>0</v>
      </c>
      <c r="K110" s="449">
        <f t="shared" si="50"/>
        <v>0</v>
      </c>
      <c r="L110" s="449">
        <f t="shared" si="50"/>
        <v>0</v>
      </c>
      <c r="M110" s="449">
        <f t="shared" si="50"/>
        <v>0</v>
      </c>
      <c r="N110" s="449">
        <f t="shared" si="50"/>
        <v>0</v>
      </c>
      <c r="O110" s="480">
        <f t="shared" si="50"/>
        <v>0</v>
      </c>
    </row>
    <row r="111" spans="2:16" ht="15" customHeight="1" x14ac:dyDescent="0.15">
      <c r="B111" s="104"/>
      <c r="C111" s="104"/>
      <c r="D111" s="123"/>
      <c r="E111" s="279"/>
      <c r="F111" s="279"/>
      <c r="G111" s="279"/>
      <c r="H111" s="279"/>
      <c r="I111" s="279"/>
      <c r="J111" s="279"/>
      <c r="K111" s="279"/>
      <c r="L111" s="279"/>
      <c r="M111" s="279"/>
      <c r="N111" s="279"/>
      <c r="O111" s="279"/>
    </row>
    <row r="112" spans="2:16" ht="15" customHeight="1" thickBot="1" x14ac:dyDescent="0.2">
      <c r="B112" s="99" t="str">
        <f>IF(ISBLANK(B18), "Product 11", B18)</f>
        <v>Classroom or program 11</v>
      </c>
      <c r="C112" s="112"/>
      <c r="D112" s="112"/>
      <c r="E112" s="121"/>
      <c r="F112" s="121"/>
      <c r="G112" s="121"/>
      <c r="H112" s="121"/>
      <c r="I112" s="121"/>
      <c r="J112" s="121"/>
      <c r="K112" s="121"/>
      <c r="L112" s="121"/>
      <c r="M112" s="121"/>
      <c r="N112" s="121"/>
      <c r="O112" s="121"/>
    </row>
    <row r="113" spans="2:16" ht="15" customHeight="1" x14ac:dyDescent="0.15">
      <c r="B113" s="101" t="s">
        <v>346</v>
      </c>
      <c r="C113" s="526"/>
      <c r="D113" s="526"/>
      <c r="E113" s="526"/>
      <c r="F113" s="526"/>
      <c r="G113" s="526"/>
      <c r="H113" s="526"/>
      <c r="I113" s="526"/>
      <c r="J113" s="526"/>
      <c r="K113" s="526"/>
      <c r="L113" s="526"/>
      <c r="M113" s="526"/>
      <c r="N113" s="526"/>
      <c r="O113" s="280">
        <f>SUM(C113:N113)/12</f>
        <v>0</v>
      </c>
    </row>
    <row r="114" spans="2:16" ht="15" customHeight="1" x14ac:dyDescent="0.15">
      <c r="B114" s="115" t="s">
        <v>348</v>
      </c>
      <c r="C114" s="479">
        <f>C113*$E$18</f>
        <v>0</v>
      </c>
      <c r="D114" s="479">
        <f t="shared" ref="D114:N114" si="51">D113*$E$18</f>
        <v>0</v>
      </c>
      <c r="E114" s="479">
        <f t="shared" si="51"/>
        <v>0</v>
      </c>
      <c r="F114" s="479">
        <f t="shared" si="51"/>
        <v>0</v>
      </c>
      <c r="G114" s="479">
        <f t="shared" si="51"/>
        <v>0</v>
      </c>
      <c r="H114" s="479">
        <f t="shared" si="51"/>
        <v>0</v>
      </c>
      <c r="I114" s="479">
        <f t="shared" si="51"/>
        <v>0</v>
      </c>
      <c r="J114" s="479">
        <f t="shared" si="51"/>
        <v>0</v>
      </c>
      <c r="K114" s="479">
        <f t="shared" si="51"/>
        <v>0</v>
      </c>
      <c r="L114" s="479">
        <f t="shared" si="51"/>
        <v>0</v>
      </c>
      <c r="M114" s="479">
        <f t="shared" si="51"/>
        <v>0</v>
      </c>
      <c r="N114" s="479">
        <f t="shared" si="51"/>
        <v>0</v>
      </c>
      <c r="O114" s="478">
        <f>SUM(C114:N114)</f>
        <v>0</v>
      </c>
    </row>
    <row r="115" spans="2:16" ht="15" customHeight="1" thickBot="1" x14ac:dyDescent="0.2">
      <c r="B115" s="107" t="s">
        <v>356</v>
      </c>
      <c r="C115" s="450">
        <f t="shared" ref="C115:N115" si="52">IF(C113=0,0,ROUNDUP(C113/$F$18,))</f>
        <v>0</v>
      </c>
      <c r="D115" s="450">
        <f t="shared" si="52"/>
        <v>0</v>
      </c>
      <c r="E115" s="450">
        <f t="shared" si="52"/>
        <v>0</v>
      </c>
      <c r="F115" s="450">
        <f t="shared" si="52"/>
        <v>0</v>
      </c>
      <c r="G115" s="450">
        <f t="shared" si="52"/>
        <v>0</v>
      </c>
      <c r="H115" s="450">
        <f t="shared" si="52"/>
        <v>0</v>
      </c>
      <c r="I115" s="450">
        <f t="shared" si="52"/>
        <v>0</v>
      </c>
      <c r="J115" s="450">
        <f t="shared" si="52"/>
        <v>0</v>
      </c>
      <c r="K115" s="450">
        <f t="shared" si="52"/>
        <v>0</v>
      </c>
      <c r="L115" s="450">
        <f t="shared" si="52"/>
        <v>0</v>
      </c>
      <c r="M115" s="450">
        <f t="shared" si="52"/>
        <v>0</v>
      </c>
      <c r="N115" s="450">
        <f t="shared" si="52"/>
        <v>0</v>
      </c>
      <c r="O115" s="116"/>
    </row>
    <row r="116" spans="2:16" ht="15" customHeight="1" thickBot="1" x14ac:dyDescent="0.2">
      <c r="B116" s="107" t="s">
        <v>463</v>
      </c>
      <c r="C116" s="449">
        <f>C115*'Pay Calculator'!$C$134</f>
        <v>0</v>
      </c>
      <c r="D116" s="449">
        <f>D115*'Pay Calculator'!$C$134</f>
        <v>0</v>
      </c>
      <c r="E116" s="449">
        <f>E115*'Pay Calculator'!$C$134</f>
        <v>0</v>
      </c>
      <c r="F116" s="449">
        <f>F115*'Pay Calculator'!$C$134</f>
        <v>0</v>
      </c>
      <c r="G116" s="449">
        <f>G115*'Pay Calculator'!$C$134</f>
        <v>0</v>
      </c>
      <c r="H116" s="449">
        <f>H115*'Pay Calculator'!$C$134</f>
        <v>0</v>
      </c>
      <c r="I116" s="449">
        <f>I115*'Pay Calculator'!$C$134</f>
        <v>0</v>
      </c>
      <c r="J116" s="449">
        <f>J115*'Pay Calculator'!$C$134</f>
        <v>0</v>
      </c>
      <c r="K116" s="449">
        <f>K115*'Pay Calculator'!$C$134</f>
        <v>0</v>
      </c>
      <c r="L116" s="449">
        <f>L115*'Pay Calculator'!$C$134</f>
        <v>0</v>
      </c>
      <c r="M116" s="449">
        <f>M115*'Pay Calculator'!$C$134</f>
        <v>0</v>
      </c>
      <c r="N116" s="449">
        <f>N115*'Pay Calculator'!$C$134</f>
        <v>0</v>
      </c>
      <c r="O116" s="478">
        <f>SUM(C116:N116)</f>
        <v>0</v>
      </c>
      <c r="P116" s="499" t="e">
        <f>O116/O114</f>
        <v>#DIV/0!</v>
      </c>
    </row>
    <row r="117" spans="2:16" ht="15" customHeight="1" x14ac:dyDescent="0.15">
      <c r="B117" s="107" t="s">
        <v>462</v>
      </c>
      <c r="C117" s="449">
        <f>C114-C116</f>
        <v>0</v>
      </c>
      <c r="D117" s="449">
        <f>D114-D116</f>
        <v>0</v>
      </c>
      <c r="E117" s="449">
        <f t="shared" ref="E117:O117" si="53">E114-E116</f>
        <v>0</v>
      </c>
      <c r="F117" s="449">
        <f t="shared" si="53"/>
        <v>0</v>
      </c>
      <c r="G117" s="449">
        <f t="shared" si="53"/>
        <v>0</v>
      </c>
      <c r="H117" s="449">
        <f t="shared" si="53"/>
        <v>0</v>
      </c>
      <c r="I117" s="449">
        <f t="shared" si="53"/>
        <v>0</v>
      </c>
      <c r="J117" s="449">
        <f t="shared" si="53"/>
        <v>0</v>
      </c>
      <c r="K117" s="449">
        <f t="shared" si="53"/>
        <v>0</v>
      </c>
      <c r="L117" s="449">
        <f t="shared" si="53"/>
        <v>0</v>
      </c>
      <c r="M117" s="449">
        <f t="shared" si="53"/>
        <v>0</v>
      </c>
      <c r="N117" s="449">
        <f t="shared" si="53"/>
        <v>0</v>
      </c>
      <c r="O117" s="480">
        <f t="shared" si="53"/>
        <v>0</v>
      </c>
    </row>
    <row r="118" spans="2:16" ht="15" hidden="1" customHeight="1" x14ac:dyDescent="0.15">
      <c r="B118" s="104"/>
      <c r="C118" s="104"/>
      <c r="D118" s="123"/>
      <c r="E118" s="279"/>
      <c r="F118" s="279"/>
      <c r="G118" s="279"/>
      <c r="H118" s="279"/>
      <c r="I118" s="279"/>
      <c r="J118" s="279"/>
      <c r="K118" s="279"/>
      <c r="L118" s="279"/>
      <c r="M118" s="279"/>
      <c r="N118" s="279"/>
      <c r="O118" s="279"/>
    </row>
    <row r="119" spans="2:16" ht="15" hidden="1" customHeight="1" x14ac:dyDescent="0.15">
      <c r="B119" s="104"/>
      <c r="C119" s="104"/>
      <c r="D119" s="123"/>
      <c r="E119" s="279"/>
      <c r="F119" s="279"/>
      <c r="G119" s="279"/>
      <c r="H119" s="279"/>
      <c r="I119" s="279"/>
      <c r="J119" s="279"/>
      <c r="K119" s="279"/>
      <c r="L119" s="279"/>
      <c r="M119" s="279"/>
      <c r="N119" s="279"/>
      <c r="O119" s="279"/>
    </row>
    <row r="120" spans="2:16" ht="15" customHeight="1" x14ac:dyDescent="0.15">
      <c r="B120" s="104"/>
      <c r="C120" s="104"/>
      <c r="D120" s="123"/>
      <c r="E120" s="279"/>
      <c r="F120" s="279"/>
      <c r="G120" s="279"/>
      <c r="H120" s="279"/>
      <c r="I120" s="279"/>
      <c r="J120" s="279"/>
      <c r="K120" s="279"/>
      <c r="L120" s="279"/>
      <c r="M120" s="279"/>
      <c r="N120" s="279"/>
      <c r="O120" s="279"/>
    </row>
    <row r="121" spans="2:16" ht="15" customHeight="1" thickBot="1" x14ac:dyDescent="0.2">
      <c r="B121" s="459" t="s">
        <v>399</v>
      </c>
      <c r="C121" s="478">
        <f t="shared" ref="C121:N121" si="54">C77+C70+C63+C56+C49+C42+C35+C26+C100+C107+C114</f>
        <v>0</v>
      </c>
      <c r="D121" s="478">
        <f t="shared" si="54"/>
        <v>0</v>
      </c>
      <c r="E121" s="478">
        <f t="shared" si="54"/>
        <v>0</v>
      </c>
      <c r="F121" s="478">
        <f t="shared" si="54"/>
        <v>0</v>
      </c>
      <c r="G121" s="478">
        <f t="shared" si="54"/>
        <v>0</v>
      </c>
      <c r="H121" s="478">
        <f t="shared" si="54"/>
        <v>0</v>
      </c>
      <c r="I121" s="478">
        <f t="shared" si="54"/>
        <v>0</v>
      </c>
      <c r="J121" s="478">
        <f t="shared" si="54"/>
        <v>0</v>
      </c>
      <c r="K121" s="478">
        <f t="shared" si="54"/>
        <v>0</v>
      </c>
      <c r="L121" s="478">
        <f t="shared" si="54"/>
        <v>0</v>
      </c>
      <c r="M121" s="478">
        <f t="shared" si="54"/>
        <v>0</v>
      </c>
      <c r="N121" s="478">
        <f t="shared" si="54"/>
        <v>0</v>
      </c>
      <c r="O121" s="478">
        <f>SUM(C121:N121)</f>
        <v>0</v>
      </c>
    </row>
    <row r="122" spans="2:16" ht="20" customHeight="1" thickBot="1" x14ac:dyDescent="0.2">
      <c r="B122" s="460" t="s">
        <v>359</v>
      </c>
      <c r="C122" s="478" t="e">
        <f t="shared" ref="C122:N122" si="55">C116+C109+C102+C79+C72+C65+C58+C51+C44+C37+C28</f>
        <v>#DIV/0!</v>
      </c>
      <c r="D122" s="478" t="e">
        <f t="shared" si="55"/>
        <v>#DIV/0!</v>
      </c>
      <c r="E122" s="478" t="e">
        <f t="shared" si="55"/>
        <v>#DIV/0!</v>
      </c>
      <c r="F122" s="478" t="e">
        <f t="shared" si="55"/>
        <v>#DIV/0!</v>
      </c>
      <c r="G122" s="478" t="e">
        <f t="shared" si="55"/>
        <v>#DIV/0!</v>
      </c>
      <c r="H122" s="478" t="e">
        <f t="shared" si="55"/>
        <v>#DIV/0!</v>
      </c>
      <c r="I122" s="478" t="e">
        <f t="shared" si="55"/>
        <v>#DIV/0!</v>
      </c>
      <c r="J122" s="478" t="e">
        <f t="shared" si="55"/>
        <v>#DIV/0!</v>
      </c>
      <c r="K122" s="478" t="e">
        <f t="shared" si="55"/>
        <v>#DIV/0!</v>
      </c>
      <c r="L122" s="478" t="e">
        <f t="shared" si="55"/>
        <v>#DIV/0!</v>
      </c>
      <c r="M122" s="478" t="e">
        <f t="shared" si="55"/>
        <v>#DIV/0!</v>
      </c>
      <c r="N122" s="478" t="e">
        <f t="shared" si="55"/>
        <v>#DIV/0!</v>
      </c>
      <c r="O122" s="478" t="e">
        <f>SUM(C122:N122)</f>
        <v>#DIV/0!</v>
      </c>
      <c r="P122" s="499" t="e">
        <f>Sales_Annual_Total/O121</f>
        <v>#DIV/0!</v>
      </c>
    </row>
    <row r="123" spans="2:16" ht="20" customHeight="1" x14ac:dyDescent="0.15">
      <c r="B123" s="461" t="s">
        <v>360</v>
      </c>
      <c r="C123" s="481" t="e">
        <f>C121-C122</f>
        <v>#DIV/0!</v>
      </c>
      <c r="D123" s="481" t="e">
        <f t="shared" ref="D123:N123" si="56">D121-D122</f>
        <v>#DIV/0!</v>
      </c>
      <c r="E123" s="481" t="e">
        <f t="shared" si="56"/>
        <v>#DIV/0!</v>
      </c>
      <c r="F123" s="481" t="e">
        <f t="shared" si="56"/>
        <v>#DIV/0!</v>
      </c>
      <c r="G123" s="481" t="e">
        <f t="shared" si="56"/>
        <v>#DIV/0!</v>
      </c>
      <c r="H123" s="481" t="e">
        <f t="shared" si="56"/>
        <v>#DIV/0!</v>
      </c>
      <c r="I123" s="481" t="e">
        <f t="shared" si="56"/>
        <v>#DIV/0!</v>
      </c>
      <c r="J123" s="481" t="e">
        <f t="shared" si="56"/>
        <v>#DIV/0!</v>
      </c>
      <c r="K123" s="481" t="e">
        <f t="shared" si="56"/>
        <v>#DIV/0!</v>
      </c>
      <c r="L123" s="481" t="e">
        <f t="shared" si="56"/>
        <v>#DIV/0!</v>
      </c>
      <c r="M123" s="481" t="e">
        <f t="shared" si="56"/>
        <v>#DIV/0!</v>
      </c>
      <c r="N123" s="481" t="e">
        <f t="shared" si="56"/>
        <v>#DIV/0!</v>
      </c>
      <c r="O123" s="481" t="e">
        <f>O121-Sales_Annual_Total</f>
        <v>#DIV/0!</v>
      </c>
    </row>
    <row r="127" spans="2:16" x14ac:dyDescent="0.15">
      <c r="D127" s="6"/>
    </row>
    <row r="128" spans="2:16" x14ac:dyDescent="0.15">
      <c r="B128" s="6"/>
      <c r="C128" s="6"/>
    </row>
  </sheetData>
  <sheetProtection selectLockedCells="1"/>
  <mergeCells count="4">
    <mergeCell ref="E22:O22"/>
    <mergeCell ref="F1:I1"/>
    <mergeCell ref="B6:G6"/>
    <mergeCell ref="E4:F4"/>
  </mergeCells>
  <phoneticPr fontId="3" type="noConversion"/>
  <conditionalFormatting sqref="B8:B21">
    <cfRule type="containsBlanks" dxfId="101" priority="147">
      <formula>LEN(TRIM(B8))=0</formula>
    </cfRule>
  </conditionalFormatting>
  <conditionalFormatting sqref="C8:C18">
    <cfRule type="containsBlanks" dxfId="100" priority="126">
      <formula>LEN(TRIM(C8))=0</formula>
    </cfRule>
  </conditionalFormatting>
  <conditionalFormatting sqref="C19:D21">
    <cfRule type="containsBlanks" dxfId="99" priority="139">
      <formula>LEN(TRIM(C19))=0</formula>
    </cfRule>
  </conditionalFormatting>
  <conditionalFormatting sqref="C23:N23">
    <cfRule type="containsBlanks" dxfId="98" priority="42">
      <formula>LEN(TRIM(C23))=0</formula>
    </cfRule>
  </conditionalFormatting>
  <conditionalFormatting sqref="C25:N25">
    <cfRule type="containsBlanks" dxfId="97" priority="149">
      <formula>LEN(TRIM(C25))=0</formula>
    </cfRule>
  </conditionalFormatting>
  <conditionalFormatting sqref="C34:N34">
    <cfRule type="containsBlanks" dxfId="96" priority="9">
      <formula>LEN(TRIM(C34))=0</formula>
    </cfRule>
  </conditionalFormatting>
  <conditionalFormatting sqref="C41:N41">
    <cfRule type="containsBlanks" dxfId="95" priority="8">
      <formula>LEN(TRIM(C41))=0</formula>
    </cfRule>
  </conditionalFormatting>
  <conditionalFormatting sqref="C48:N48">
    <cfRule type="containsBlanks" dxfId="94" priority="7">
      <formula>LEN(TRIM(C48))=0</formula>
    </cfRule>
  </conditionalFormatting>
  <conditionalFormatting sqref="C55:N55">
    <cfRule type="containsBlanks" dxfId="93" priority="6">
      <formula>LEN(TRIM(C55))=0</formula>
    </cfRule>
  </conditionalFormatting>
  <conditionalFormatting sqref="C62:N62">
    <cfRule type="containsBlanks" dxfId="92" priority="5">
      <formula>LEN(TRIM(C62))=0</formula>
    </cfRule>
  </conditionalFormatting>
  <conditionalFormatting sqref="C69:N69">
    <cfRule type="containsBlanks" dxfId="91" priority="4">
      <formula>LEN(TRIM(C69))=0</formula>
    </cfRule>
  </conditionalFormatting>
  <conditionalFormatting sqref="C76:N76">
    <cfRule type="containsBlanks" dxfId="90" priority="3">
      <formula>LEN(TRIM(C76))=0</formula>
    </cfRule>
  </conditionalFormatting>
  <conditionalFormatting sqref="C99:N99">
    <cfRule type="containsBlanks" dxfId="89" priority="12">
      <formula>LEN(TRIM(C99))=0</formula>
    </cfRule>
  </conditionalFormatting>
  <conditionalFormatting sqref="C106:N106">
    <cfRule type="containsBlanks" dxfId="88" priority="2">
      <formula>LEN(TRIM(C106))=0</formula>
    </cfRule>
  </conditionalFormatting>
  <conditionalFormatting sqref="C113:N113">
    <cfRule type="containsBlanks" dxfId="87" priority="1">
      <formula>LEN(TRIM(C113))=0</formula>
    </cfRule>
  </conditionalFormatting>
  <conditionalFormatting sqref="E8:F21">
    <cfRule type="containsBlanks" dxfId="86" priority="20">
      <formula>LEN(TRIM(E8))=0</formula>
    </cfRule>
  </conditionalFormatting>
  <conditionalFormatting sqref="E83:O83">
    <cfRule type="containsBlanks" dxfId="85" priority="137" stopIfTrue="1">
      <formula>LEN(TRIM(E83))=0</formula>
    </cfRule>
  </conditionalFormatting>
  <conditionalFormatting sqref="J8:K16">
    <cfRule type="containsBlanks" dxfId="84" priority="43">
      <formula>LEN(TRIM(J8))=0</formula>
    </cfRule>
  </conditionalFormatting>
  <conditionalFormatting sqref="P28">
    <cfRule type="containsErrors" dxfId="83" priority="67">
      <formula>ISERROR(P28)</formula>
    </cfRule>
  </conditionalFormatting>
  <conditionalFormatting sqref="P37">
    <cfRule type="containsErrors" dxfId="82" priority="66">
      <formula>ISERROR(P37)</formula>
    </cfRule>
  </conditionalFormatting>
  <conditionalFormatting sqref="P44">
    <cfRule type="containsErrors" dxfId="81" priority="65">
      <formula>ISERROR(P44)</formula>
    </cfRule>
  </conditionalFormatting>
  <conditionalFormatting sqref="P51">
    <cfRule type="containsErrors" dxfId="80" priority="64">
      <formula>ISERROR(P51)</formula>
    </cfRule>
  </conditionalFormatting>
  <conditionalFormatting sqref="P58">
    <cfRule type="containsErrors" dxfId="79" priority="63">
      <formula>ISERROR(P58)</formula>
    </cfRule>
  </conditionalFormatting>
  <conditionalFormatting sqref="P65">
    <cfRule type="containsErrors" dxfId="78" priority="62">
      <formula>ISERROR(P65)</formula>
    </cfRule>
  </conditionalFormatting>
  <conditionalFormatting sqref="P72">
    <cfRule type="containsErrors" dxfId="77" priority="148">
      <formula>ISERROR(P72)</formula>
    </cfRule>
  </conditionalFormatting>
  <conditionalFormatting sqref="P79">
    <cfRule type="containsErrors" dxfId="76" priority="59">
      <formula>ISERROR(P79)</formula>
    </cfRule>
  </conditionalFormatting>
  <conditionalFormatting sqref="P102">
    <cfRule type="containsErrors" dxfId="75" priority="58">
      <formula>ISERROR(P102)</formula>
    </cfRule>
  </conditionalFormatting>
  <conditionalFormatting sqref="P109">
    <cfRule type="containsErrors" dxfId="74" priority="57">
      <formula>ISERROR(P109)</formula>
    </cfRule>
  </conditionalFormatting>
  <conditionalFormatting sqref="P116">
    <cfRule type="containsErrors" dxfId="73" priority="56">
      <formula>ISERROR(P116)</formula>
    </cfRule>
  </conditionalFormatting>
  <conditionalFormatting sqref="P122">
    <cfRule type="containsErrors" dxfId="72" priority="55">
      <formula>ISERROR(P122)</formula>
    </cfRule>
  </conditionalFormatting>
  <printOptions horizontalCentered="1"/>
  <pageMargins left="0.5" right="0.25" top="0.75" bottom="0.75" header="0.3" footer="0.3"/>
  <pageSetup paperSize="5" scale="90" fitToHeight="0" orientation="landscape" r:id="rId1"/>
  <headerFooter scaleWithDoc="0">
    <oddHeader>&amp;C&amp;"Gill Sans MT,Regular"&amp;12Sales Forecast Year 1</oddHeader>
    <oddFooter>&amp;L&amp;"Gill Sans MT,Regular"&amp;12&amp;F&amp;C&amp;"Gill Sans MT,Regular"&amp;12&amp;A&amp;R&amp;"Gill Sans MT,Regular"&amp;12&amp;D &amp;T</oddFooter>
  </headerFooter>
  <drawing r:id="rId2"/>
  <legacyDrawing r:id="rId3"/>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FFC95B"/>
    <pageSetUpPr fitToPage="1"/>
  </sheetPr>
  <dimension ref="A1:AF73"/>
  <sheetViews>
    <sheetView topLeftCell="A36" workbookViewId="0">
      <selection activeCell="S74" sqref="S74"/>
    </sheetView>
  </sheetViews>
  <sheetFormatPr baseColWidth="10" defaultColWidth="8.83203125" defaultRowHeight="12" x14ac:dyDescent="0.15"/>
  <cols>
    <col min="1" max="1" width="28.33203125" style="43" customWidth="1"/>
    <col min="2" max="2" width="30.6640625" style="43" bestFit="1" customWidth="1"/>
    <col min="3" max="3" width="9.33203125" style="43" customWidth="1"/>
    <col min="4" max="4" width="10.33203125" style="43" bestFit="1" customWidth="1"/>
    <col min="5" max="5" width="9.33203125" style="43" customWidth="1"/>
    <col min="6" max="12" width="9.5" style="43" bestFit="1" customWidth="1"/>
    <col min="13" max="14" width="11.33203125" style="43" bestFit="1" customWidth="1"/>
    <col min="15" max="15" width="14.33203125" style="43" bestFit="1" customWidth="1"/>
    <col min="16" max="16" width="13" style="43" customWidth="1"/>
    <col min="17" max="17" width="11.33203125" style="43" bestFit="1" customWidth="1"/>
    <col min="18" max="20" width="7.5" style="43" bestFit="1" customWidth="1"/>
    <col min="21" max="29" width="9.5" style="43" bestFit="1" customWidth="1"/>
    <col min="30" max="30" width="11" style="43" bestFit="1" customWidth="1"/>
    <col min="31" max="31" width="13" style="43" bestFit="1" customWidth="1"/>
    <col min="32" max="32" width="12.6640625" style="43" bestFit="1" customWidth="1"/>
    <col min="33" max="16384" width="8.83203125" style="43"/>
  </cols>
  <sheetData>
    <row r="1" spans="1:32" x14ac:dyDescent="0.15">
      <c r="G1" s="128"/>
    </row>
    <row r="2" spans="1:32" x14ac:dyDescent="0.15">
      <c r="B2" s="55" t="s">
        <v>86</v>
      </c>
    </row>
    <row r="3" spans="1:32" ht="21.75" customHeight="1" x14ac:dyDescent="0.15">
      <c r="B3" s="53"/>
      <c r="C3" s="53"/>
    </row>
    <row r="4" spans="1:32" ht="21.75" customHeight="1" x14ac:dyDescent="0.15">
      <c r="B4" s="55" t="s">
        <v>123</v>
      </c>
      <c r="C4" s="55" t="s">
        <v>120</v>
      </c>
    </row>
    <row r="5" spans="1:32" ht="21.75" customHeight="1" x14ac:dyDescent="0.15">
      <c r="B5" s="5" t="str">
        <f>IF(ISBLANK(Directions!C6), "Owner", Directions!C6)</f>
        <v>Owner</v>
      </c>
      <c r="C5" s="717" t="str">
        <f>IF(ISBLANK(Directions!D6), "Company 1", Directions!D6)</f>
        <v>Company 1</v>
      </c>
      <c r="D5" s="717"/>
      <c r="G5" s="128"/>
    </row>
    <row r="6" spans="1:32" ht="21.75" customHeight="1" x14ac:dyDescent="0.15">
      <c r="B6" s="53"/>
      <c r="C6" s="53"/>
      <c r="G6" s="128"/>
    </row>
    <row r="7" spans="1:32" x14ac:dyDescent="0.15">
      <c r="B7" s="129" t="s">
        <v>121</v>
      </c>
      <c r="C7" s="130">
        <v>0</v>
      </c>
      <c r="D7" s="97"/>
      <c r="G7" s="128"/>
    </row>
    <row r="8" spans="1:32" x14ac:dyDescent="0.15">
      <c r="B8" s="129" t="s">
        <v>122</v>
      </c>
      <c r="C8" s="130">
        <v>0</v>
      </c>
      <c r="D8" s="97"/>
      <c r="F8" s="128"/>
      <c r="G8" s="128"/>
    </row>
    <row r="9" spans="1:32" x14ac:dyDescent="0.15">
      <c r="C9" s="128"/>
      <c r="D9" s="128"/>
      <c r="E9" s="128"/>
      <c r="F9" s="128"/>
      <c r="G9" s="128"/>
      <c r="H9" s="128"/>
      <c r="I9" s="128"/>
      <c r="J9" s="128"/>
      <c r="K9" s="128"/>
      <c r="L9" s="128"/>
      <c r="M9" s="128"/>
    </row>
    <row r="10" spans="1:32" ht="27" thickBot="1" x14ac:dyDescent="0.2">
      <c r="A10" s="326" t="s">
        <v>203</v>
      </c>
      <c r="B10" s="326" t="s">
        <v>197</v>
      </c>
      <c r="C10" s="326" t="str">
        <f>'2a-PayrollYear1'!F7</f>
        <v>Month 1</v>
      </c>
      <c r="D10" s="326" t="str">
        <f>'2a-PayrollYear1'!G7</f>
        <v>Month 2</v>
      </c>
      <c r="E10" s="326" t="str">
        <f>'2a-PayrollYear1'!H7</f>
        <v>Month 3</v>
      </c>
      <c r="F10" s="326" t="str">
        <f>'2a-PayrollYear1'!I7</f>
        <v>Month 4</v>
      </c>
      <c r="G10" s="326" t="str">
        <f>'2a-PayrollYear1'!J7</f>
        <v>Month 5</v>
      </c>
      <c r="H10" s="326" t="str">
        <f>'2a-PayrollYear1'!K7</f>
        <v>Month 6</v>
      </c>
      <c r="I10" s="326" t="str">
        <f>'2a-PayrollYear1'!L7</f>
        <v>Month 7</v>
      </c>
      <c r="J10" s="326" t="str">
        <f>'2a-PayrollYear1'!M7</f>
        <v>Month 8</v>
      </c>
      <c r="K10" s="326" t="str">
        <f>'2a-PayrollYear1'!N7</f>
        <v>Month 9</v>
      </c>
      <c r="L10" s="326" t="str">
        <f>'2a-PayrollYear1'!O7</f>
        <v>Month 10</v>
      </c>
      <c r="M10" s="326" t="str">
        <f>'2a-PayrollYear1'!P7</f>
        <v>Month 11</v>
      </c>
      <c r="N10" s="326" t="str">
        <f>'2a-PayrollYear1'!Q7</f>
        <v>Month 12</v>
      </c>
      <c r="O10" s="326" t="s">
        <v>198</v>
      </c>
      <c r="P10" s="326" t="s">
        <v>205</v>
      </c>
      <c r="Q10" s="326" t="s">
        <v>107</v>
      </c>
      <c r="R10" s="326" t="str">
        <f>'2a-PayrollYear1'!F7</f>
        <v>Month 1</v>
      </c>
      <c r="S10" s="326" t="str">
        <f>'2a-PayrollYear1'!G7</f>
        <v>Month 2</v>
      </c>
      <c r="T10" s="326" t="str">
        <f>'2a-PayrollYear1'!H7</f>
        <v>Month 3</v>
      </c>
      <c r="U10" s="326" t="str">
        <f>'2a-PayrollYear1'!I7</f>
        <v>Month 4</v>
      </c>
      <c r="V10" s="326" t="str">
        <f>'2a-PayrollYear1'!J7</f>
        <v>Month 5</v>
      </c>
      <c r="W10" s="326" t="str">
        <f>'2a-PayrollYear1'!K7</f>
        <v>Month 6</v>
      </c>
      <c r="X10" s="326" t="str">
        <f>'2a-PayrollYear1'!L7</f>
        <v>Month 7</v>
      </c>
      <c r="Y10" s="326" t="str">
        <f>'2a-PayrollYear1'!M7</f>
        <v>Month 8</v>
      </c>
      <c r="Z10" s="326" t="str">
        <f>'2a-PayrollYear1'!N7</f>
        <v>Month 9</v>
      </c>
      <c r="AA10" s="326" t="str">
        <f>'2a-PayrollYear1'!O7</f>
        <v>Month 10</v>
      </c>
      <c r="AB10" s="326" t="str">
        <f>'2a-PayrollYear1'!P7</f>
        <v>Month 11</v>
      </c>
      <c r="AC10" s="326" t="str">
        <f>'2a-PayrollYear1'!Q7</f>
        <v>Month 12</v>
      </c>
      <c r="AD10" s="326" t="s">
        <v>199</v>
      </c>
      <c r="AE10" s="326" t="s">
        <v>205</v>
      </c>
      <c r="AF10" s="326" t="s">
        <v>107</v>
      </c>
    </row>
    <row r="11" spans="1:32" ht="13" thickTop="1" x14ac:dyDescent="0.15">
      <c r="A11" s="112" t="str">
        <f>SalesForecastYear1!B24</f>
        <v>Classroom or program 1</v>
      </c>
      <c r="B11" s="112"/>
      <c r="C11" s="312"/>
      <c r="D11" s="312"/>
      <c r="E11" s="312"/>
      <c r="F11" s="312"/>
      <c r="G11" s="312"/>
      <c r="H11" s="312"/>
      <c r="I11" s="312"/>
      <c r="J11" s="312"/>
      <c r="K11" s="312"/>
      <c r="L11" s="312"/>
      <c r="M11" s="312"/>
      <c r="N11" s="312"/>
      <c r="O11" s="114"/>
      <c r="P11" s="303"/>
      <c r="Q11" s="114"/>
      <c r="R11" s="312"/>
      <c r="S11" s="312"/>
      <c r="T11" s="312"/>
      <c r="U11" s="312"/>
      <c r="V11" s="312"/>
      <c r="W11" s="312"/>
      <c r="X11" s="312"/>
      <c r="Y11" s="312"/>
      <c r="Z11" s="312"/>
      <c r="AA11" s="312"/>
      <c r="AB11" s="312"/>
      <c r="AC11" s="312"/>
      <c r="AD11" s="114"/>
      <c r="AE11" s="303"/>
      <c r="AF11" s="114"/>
    </row>
    <row r="12" spans="1:32" x14ac:dyDescent="0.15">
      <c r="A12" s="101" t="str">
        <f>Unit1&amp; " Sold"</f>
        <v>0 Sold</v>
      </c>
      <c r="B12" s="101" t="str">
        <f>Unit1_Annual</f>
        <v xml:space="preserve"> </v>
      </c>
      <c r="C12" s="265">
        <f>SalesForecastYear1!C25+(SalesForecastYear1!C25*$C$7)</f>
        <v>4</v>
      </c>
      <c r="D12" s="265">
        <f>SalesForecastYear1!D25+(SalesForecastYear1!D25*$C$7)</f>
        <v>4</v>
      </c>
      <c r="E12" s="265">
        <f>SalesForecastYear1!E25+(SalesForecastYear1!E25*$C$7)</f>
        <v>4</v>
      </c>
      <c r="F12" s="265">
        <f>SalesForecastYear1!F25+(SalesForecastYear1!F25*$C$7)</f>
        <v>4</v>
      </c>
      <c r="G12" s="265">
        <f>SalesForecastYear1!G25+(SalesForecastYear1!G25*$C$7)</f>
        <v>4</v>
      </c>
      <c r="H12" s="265">
        <f>SalesForecastYear1!H25+(SalesForecastYear1!H25*$C$7)</f>
        <v>4</v>
      </c>
      <c r="I12" s="265">
        <f>SalesForecastYear1!I25+(SalesForecastYear1!I25*$C$7)</f>
        <v>4</v>
      </c>
      <c r="J12" s="265">
        <f>SalesForecastYear1!J25+(SalesForecastYear1!J25*$C$7)</f>
        <v>4</v>
      </c>
      <c r="K12" s="265">
        <f>SalesForecastYear1!K25+(SalesForecastYear1!K25*$C$7)</f>
        <v>4</v>
      </c>
      <c r="L12" s="265">
        <f>SalesForecastYear1!L25+(SalesForecastYear1!L25*$C$7)</f>
        <v>4</v>
      </c>
      <c r="M12" s="265">
        <f>SalesForecastYear1!M25+(SalesForecastYear1!M25*$C$7)</f>
        <v>4</v>
      </c>
      <c r="N12" s="265">
        <f>SalesForecastYear1!N25+(SalesForecastYear1!N25*$C$7)</f>
        <v>4</v>
      </c>
      <c r="O12" s="280">
        <f>SUM(C12:N12)</f>
        <v>48</v>
      </c>
      <c r="P12" s="7"/>
      <c r="Q12" s="274">
        <f>IF($O$76=0,0,O12/$O$76)</f>
        <v>0</v>
      </c>
      <c r="R12" s="265">
        <f t="shared" ref="R12:AC12" si="0">C12+(C12*$C$8)</f>
        <v>4</v>
      </c>
      <c r="S12" s="265">
        <f t="shared" si="0"/>
        <v>4</v>
      </c>
      <c r="T12" s="265">
        <f t="shared" si="0"/>
        <v>4</v>
      </c>
      <c r="U12" s="265">
        <f t="shared" si="0"/>
        <v>4</v>
      </c>
      <c r="V12" s="265">
        <f t="shared" si="0"/>
        <v>4</v>
      </c>
      <c r="W12" s="265">
        <f t="shared" si="0"/>
        <v>4</v>
      </c>
      <c r="X12" s="265">
        <f t="shared" si="0"/>
        <v>4</v>
      </c>
      <c r="Y12" s="265">
        <f t="shared" si="0"/>
        <v>4</v>
      </c>
      <c r="Z12" s="265">
        <f t="shared" si="0"/>
        <v>4</v>
      </c>
      <c r="AA12" s="265">
        <f t="shared" si="0"/>
        <v>4</v>
      </c>
      <c r="AB12" s="265">
        <f t="shared" si="0"/>
        <v>4</v>
      </c>
      <c r="AC12" s="265">
        <f t="shared" si="0"/>
        <v>4</v>
      </c>
      <c r="AD12" s="280">
        <f>SUM(R12:AC12)</f>
        <v>48</v>
      </c>
      <c r="AE12" s="7"/>
      <c r="AF12" s="274">
        <f>IF($O$76=0,0,AD12/$O$76)</f>
        <v>0</v>
      </c>
    </row>
    <row r="13" spans="1:32" x14ac:dyDescent="0.15">
      <c r="A13" s="104" t="s">
        <v>105</v>
      </c>
      <c r="B13" s="260">
        <f>Category1_Annual_Sales</f>
        <v>0</v>
      </c>
      <c r="C13" s="267">
        <f>SalesForecastYear1!C26+(SalesForecastYear1!C26*$C$7)</f>
        <v>0</v>
      </c>
      <c r="D13" s="267">
        <f>SalesForecastYear1!D26+(SalesForecastYear1!D26*$C$7)</f>
        <v>0</v>
      </c>
      <c r="E13" s="267">
        <f>SalesForecastYear1!E26+(SalesForecastYear1!E26*$C$7)</f>
        <v>0</v>
      </c>
      <c r="F13" s="267">
        <f>SalesForecastYear1!F26+(SalesForecastYear1!F26*$C$7)</f>
        <v>0</v>
      </c>
      <c r="G13" s="267">
        <f>SalesForecastYear1!G26+(SalesForecastYear1!G26*$C$7)</f>
        <v>0</v>
      </c>
      <c r="H13" s="267">
        <f>SalesForecastYear1!H26+(SalesForecastYear1!H26*$C$7)</f>
        <v>0</v>
      </c>
      <c r="I13" s="267">
        <f>SalesForecastYear1!I26+(SalesForecastYear1!I26*$C$7)</f>
        <v>0</v>
      </c>
      <c r="J13" s="267">
        <f>SalesForecastYear1!J26+(SalesForecastYear1!J26*$C$7)</f>
        <v>0</v>
      </c>
      <c r="K13" s="267">
        <f>SalesForecastYear1!K26+(SalesForecastYear1!K26*$C$7)</f>
        <v>0</v>
      </c>
      <c r="L13" s="267">
        <f>SalesForecastYear1!L26+(SalesForecastYear1!L26*$C$7)</f>
        <v>0</v>
      </c>
      <c r="M13" s="267">
        <f>SalesForecastYear1!M26+(SalesForecastYear1!M26*$C$7)</f>
        <v>0</v>
      </c>
      <c r="N13" s="267">
        <f>SalesForecastYear1!N26+(SalesForecastYear1!N26*$C$7)</f>
        <v>0</v>
      </c>
      <c r="O13" s="105">
        <f>SUM(C13:N13)</f>
        <v>0</v>
      </c>
      <c r="P13" s="275">
        <f>(P14+P15)</f>
        <v>0</v>
      </c>
      <c r="Q13" s="274">
        <f>IF($O$77=0,0,O13/$O$77)</f>
        <v>0</v>
      </c>
      <c r="R13" s="267">
        <f t="shared" ref="R13:R14" si="1">C13+(C13*$C$8)</f>
        <v>0</v>
      </c>
      <c r="S13" s="267">
        <f t="shared" ref="S13:S14" si="2">D13+(D13*$C$8)</f>
        <v>0</v>
      </c>
      <c r="T13" s="267">
        <f t="shared" ref="T13:T14" si="3">E13+(E13*$C$8)</f>
        <v>0</v>
      </c>
      <c r="U13" s="267">
        <f t="shared" ref="U13:U14" si="4">F13+(F13*$C$8)</f>
        <v>0</v>
      </c>
      <c r="V13" s="267">
        <f t="shared" ref="V13:V14" si="5">G13+(G13*$C$8)</f>
        <v>0</v>
      </c>
      <c r="W13" s="267">
        <f t="shared" ref="W13:W14" si="6">H13+(H13*$C$8)</f>
        <v>0</v>
      </c>
      <c r="X13" s="267">
        <f t="shared" ref="X13:X14" si="7">I13+(I13*$C$8)</f>
        <v>0</v>
      </c>
      <c r="Y13" s="267">
        <f t="shared" ref="Y13:Y14" si="8">J13+(J13*$C$8)</f>
        <v>0</v>
      </c>
      <c r="Z13" s="267">
        <f t="shared" ref="Z13:Z14" si="9">K13+(K13*$C$8)</f>
        <v>0</v>
      </c>
      <c r="AA13" s="267">
        <f t="shared" ref="AA13:AA14" si="10">L13+(L13*$C$8)</f>
        <v>0</v>
      </c>
      <c r="AB13" s="267">
        <f t="shared" ref="AB13:AB14" si="11">M13+(M13*$C$8)</f>
        <v>0</v>
      </c>
      <c r="AC13" s="267">
        <f t="shared" ref="AC13:AC14" si="12">N13+(N13*$C$8)</f>
        <v>0</v>
      </c>
      <c r="AD13" s="105">
        <f>SUM(R13:AC13)</f>
        <v>0</v>
      </c>
      <c r="AE13" s="275">
        <f>(AE14+AE15)</f>
        <v>0</v>
      </c>
      <c r="AF13" s="274">
        <f>IF($O$77=0,0,AD13/$O$77)</f>
        <v>0</v>
      </c>
    </row>
    <row r="14" spans="1:32" x14ac:dyDescent="0.15">
      <c r="A14" s="104" t="s">
        <v>204</v>
      </c>
      <c r="B14" s="260" t="e">
        <f>SalesForecastYear1!#REF!</f>
        <v>#REF!</v>
      </c>
      <c r="C14" s="267" t="e">
        <f>SalesForecastYear1!#REF!+(SalesForecastYear1!#REF!*$C$7)</f>
        <v>#REF!</v>
      </c>
      <c r="D14" s="267" t="e">
        <f>SalesForecastYear1!#REF!+(SalesForecastYear1!#REF!*$C$7)</f>
        <v>#REF!</v>
      </c>
      <c r="E14" s="267" t="e">
        <f>SalesForecastYear1!#REF!+(SalesForecastYear1!#REF!*$C$7)</f>
        <v>#REF!</v>
      </c>
      <c r="F14" s="267" t="e">
        <f>SalesForecastYear1!#REF!+(SalesForecastYear1!#REF!*$C$7)</f>
        <v>#REF!</v>
      </c>
      <c r="G14" s="267" t="e">
        <f>SalesForecastYear1!#REF!+(SalesForecastYear1!#REF!*$C$7)</f>
        <v>#REF!</v>
      </c>
      <c r="H14" s="267" t="e">
        <f>SalesForecastYear1!#REF!+(SalesForecastYear1!#REF!*$C$7)</f>
        <v>#REF!</v>
      </c>
      <c r="I14" s="267" t="e">
        <f>SalesForecastYear1!#REF!+(SalesForecastYear1!#REF!*$C$7)</f>
        <v>#REF!</v>
      </c>
      <c r="J14" s="267" t="e">
        <f>SalesForecastYear1!#REF!+(SalesForecastYear1!#REF!*$C$7)</f>
        <v>#REF!</v>
      </c>
      <c r="K14" s="267" t="e">
        <f>SalesForecastYear1!#REF!+(SalesForecastYear1!#REF!*$C$7)</f>
        <v>#REF!</v>
      </c>
      <c r="L14" s="267" t="e">
        <f>SalesForecastYear1!#REF!+(SalesForecastYear1!#REF!*$C$7)</f>
        <v>#REF!</v>
      </c>
      <c r="M14" s="267" t="e">
        <f>SalesForecastYear1!#REF!+(SalesForecastYear1!#REF!*$C$7)</f>
        <v>#REF!</v>
      </c>
      <c r="N14" s="267" t="e">
        <f>SalesForecastYear1!#REF!+(SalesForecastYear1!#REF!*$C$7)</f>
        <v>#REF!</v>
      </c>
      <c r="O14" s="105" t="e">
        <f>SUM(C14:N14)</f>
        <v>#REF!</v>
      </c>
      <c r="P14" s="275">
        <f>IF(O13=0,0,O14/O13)</f>
        <v>0</v>
      </c>
      <c r="Q14" s="274">
        <f>IF($O$78=0,0,O14/$O$78)</f>
        <v>0</v>
      </c>
      <c r="R14" s="267" t="e">
        <f t="shared" si="1"/>
        <v>#REF!</v>
      </c>
      <c r="S14" s="267" t="e">
        <f t="shared" si="2"/>
        <v>#REF!</v>
      </c>
      <c r="T14" s="267" t="e">
        <f t="shared" si="3"/>
        <v>#REF!</v>
      </c>
      <c r="U14" s="267" t="e">
        <f t="shared" si="4"/>
        <v>#REF!</v>
      </c>
      <c r="V14" s="267" t="e">
        <f t="shared" si="5"/>
        <v>#REF!</v>
      </c>
      <c r="W14" s="267" t="e">
        <f t="shared" si="6"/>
        <v>#REF!</v>
      </c>
      <c r="X14" s="267" t="e">
        <f t="shared" si="7"/>
        <v>#REF!</v>
      </c>
      <c r="Y14" s="267" t="e">
        <f t="shared" si="8"/>
        <v>#REF!</v>
      </c>
      <c r="Z14" s="267" t="e">
        <f t="shared" si="9"/>
        <v>#REF!</v>
      </c>
      <c r="AA14" s="267" t="e">
        <f t="shared" si="10"/>
        <v>#REF!</v>
      </c>
      <c r="AB14" s="267" t="e">
        <f t="shared" si="11"/>
        <v>#REF!</v>
      </c>
      <c r="AC14" s="267" t="e">
        <f t="shared" si="12"/>
        <v>#REF!</v>
      </c>
      <c r="AD14" s="105" t="e">
        <f>SUM(R14:AC14)</f>
        <v>#REF!</v>
      </c>
      <c r="AE14" s="275">
        <f>IF(AD13=0,0,AD14/AD13)</f>
        <v>0</v>
      </c>
      <c r="AF14" s="274">
        <f>IF($O$78=0,0,AD14/$O$78)</f>
        <v>0</v>
      </c>
    </row>
    <row r="15" spans="1:32" x14ac:dyDescent="0.15">
      <c r="A15" s="107" t="s">
        <v>106</v>
      </c>
      <c r="B15" s="260" t="e">
        <f>SalesForecastYear1!#REF!</f>
        <v>#REF!</v>
      </c>
      <c r="C15" s="267" t="e">
        <f>C13-C14</f>
        <v>#REF!</v>
      </c>
      <c r="D15" s="267" t="e">
        <f t="shared" ref="D15:N15" si="13">D13-D14</f>
        <v>#REF!</v>
      </c>
      <c r="E15" s="267" t="e">
        <f t="shared" si="13"/>
        <v>#REF!</v>
      </c>
      <c r="F15" s="267" t="e">
        <f t="shared" si="13"/>
        <v>#REF!</v>
      </c>
      <c r="G15" s="267" t="e">
        <f t="shared" si="13"/>
        <v>#REF!</v>
      </c>
      <c r="H15" s="267" t="e">
        <f t="shared" si="13"/>
        <v>#REF!</v>
      </c>
      <c r="I15" s="267" t="e">
        <f t="shared" si="13"/>
        <v>#REF!</v>
      </c>
      <c r="J15" s="267" t="e">
        <f t="shared" si="13"/>
        <v>#REF!</v>
      </c>
      <c r="K15" s="267" t="e">
        <f t="shared" si="13"/>
        <v>#REF!</v>
      </c>
      <c r="L15" s="267" t="e">
        <f t="shared" si="13"/>
        <v>#REF!</v>
      </c>
      <c r="M15" s="267" t="e">
        <f t="shared" si="13"/>
        <v>#REF!</v>
      </c>
      <c r="N15" s="267" t="e">
        <f t="shared" si="13"/>
        <v>#REF!</v>
      </c>
      <c r="O15" s="105" t="e">
        <f>SUM(C15:N15)</f>
        <v>#REF!</v>
      </c>
      <c r="P15" s="275">
        <f>IF(O13=0,0,O15/O13)</f>
        <v>0</v>
      </c>
      <c r="Q15" s="274">
        <f>IF($O$79=0,0,O15/$O$79)</f>
        <v>0</v>
      </c>
      <c r="R15" s="267" t="e">
        <f>R13-R14</f>
        <v>#REF!</v>
      </c>
      <c r="S15" s="267" t="e">
        <f t="shared" ref="S15:AC15" si="14">S13-S14</f>
        <v>#REF!</v>
      </c>
      <c r="T15" s="267" t="e">
        <f t="shared" si="14"/>
        <v>#REF!</v>
      </c>
      <c r="U15" s="267" t="e">
        <f t="shared" si="14"/>
        <v>#REF!</v>
      </c>
      <c r="V15" s="267" t="e">
        <f t="shared" si="14"/>
        <v>#REF!</v>
      </c>
      <c r="W15" s="267" t="e">
        <f t="shared" si="14"/>
        <v>#REF!</v>
      </c>
      <c r="X15" s="267" t="e">
        <f t="shared" si="14"/>
        <v>#REF!</v>
      </c>
      <c r="Y15" s="267" t="e">
        <f t="shared" si="14"/>
        <v>#REF!</v>
      </c>
      <c r="Z15" s="267" t="e">
        <f t="shared" si="14"/>
        <v>#REF!</v>
      </c>
      <c r="AA15" s="267" t="e">
        <f t="shared" si="14"/>
        <v>#REF!</v>
      </c>
      <c r="AB15" s="267" t="e">
        <f t="shared" si="14"/>
        <v>#REF!</v>
      </c>
      <c r="AC15" s="267" t="e">
        <f t="shared" si="14"/>
        <v>#REF!</v>
      </c>
      <c r="AD15" s="105" t="e">
        <f>SUM(R15:AC15)</f>
        <v>#REF!</v>
      </c>
      <c r="AE15" s="275">
        <f>IF(AD13=0,0,AD15/AD13)</f>
        <v>0</v>
      </c>
      <c r="AF15" s="274">
        <f>IF($O$79=0,0,AD15/$O$79)</f>
        <v>0</v>
      </c>
    </row>
    <row r="16" spans="1:32" x14ac:dyDescent="0.15">
      <c r="A16" s="108"/>
      <c r="B16" s="258"/>
      <c r="C16" s="109"/>
      <c r="D16" s="110"/>
      <c r="E16" s="110"/>
      <c r="F16" s="110"/>
      <c r="G16" s="110"/>
      <c r="H16" s="110"/>
      <c r="I16" s="110"/>
      <c r="J16" s="110"/>
      <c r="K16" s="110"/>
      <c r="L16" s="110"/>
      <c r="M16" s="110"/>
      <c r="N16" s="110"/>
      <c r="O16" s="111"/>
      <c r="P16" s="7"/>
      <c r="Q16" s="103"/>
      <c r="R16" s="109"/>
      <c r="S16" s="110"/>
      <c r="T16" s="110"/>
      <c r="U16" s="110"/>
      <c r="V16" s="110"/>
      <c r="W16" s="110"/>
      <c r="X16" s="110"/>
      <c r="Y16" s="110"/>
      <c r="Z16" s="110"/>
      <c r="AA16" s="110"/>
      <c r="AB16" s="110"/>
      <c r="AC16" s="110"/>
      <c r="AD16" s="111"/>
      <c r="AE16" s="7"/>
      <c r="AF16" s="103"/>
    </row>
    <row r="17" spans="1:32" x14ac:dyDescent="0.15">
      <c r="A17" s="112" t="str">
        <f>SalesForecastYear1!B33</f>
        <v>Classroom or program 2</v>
      </c>
      <c r="B17" s="112"/>
      <c r="C17" s="113"/>
      <c r="D17" s="113"/>
      <c r="E17" s="113"/>
      <c r="F17" s="113"/>
      <c r="G17" s="113"/>
      <c r="H17" s="113"/>
      <c r="I17" s="113"/>
      <c r="J17" s="113"/>
      <c r="K17" s="113"/>
      <c r="L17" s="113"/>
      <c r="M17" s="113"/>
      <c r="N17" s="113"/>
      <c r="O17" s="114"/>
      <c r="P17" s="7"/>
      <c r="Q17" s="103"/>
      <c r="R17" s="113"/>
      <c r="S17" s="113"/>
      <c r="T17" s="113"/>
      <c r="U17" s="113"/>
      <c r="V17" s="113"/>
      <c r="W17" s="113"/>
      <c r="X17" s="113"/>
      <c r="Y17" s="113"/>
      <c r="Z17" s="113"/>
      <c r="AA17" s="113"/>
      <c r="AB17" s="113"/>
      <c r="AC17" s="113"/>
      <c r="AD17" s="114"/>
      <c r="AE17" s="7"/>
      <c r="AF17" s="103"/>
    </row>
    <row r="18" spans="1:32" x14ac:dyDescent="0.15">
      <c r="A18" s="101" t="str">
        <f>Unit2&amp; " Sold"</f>
        <v>0 Sold</v>
      </c>
      <c r="B18" s="101">
        <f>Unit2_Annual</f>
        <v>6</v>
      </c>
      <c r="C18" s="265">
        <f>SalesForecastYear1!C34+(SalesForecastYear1!C34*$C$7)</f>
        <v>6</v>
      </c>
      <c r="D18" s="265">
        <f>SalesForecastYear1!D34+(SalesForecastYear1!D34*$C$7)</f>
        <v>6</v>
      </c>
      <c r="E18" s="265">
        <f>SalesForecastYear1!E34+(SalesForecastYear1!E34*$C$7)</f>
        <v>6</v>
      </c>
      <c r="F18" s="265">
        <f>SalesForecastYear1!F34+(SalesForecastYear1!F34*$C$7)</f>
        <v>6</v>
      </c>
      <c r="G18" s="265">
        <f>SalesForecastYear1!G34+(SalesForecastYear1!G34*$C$7)</f>
        <v>6</v>
      </c>
      <c r="H18" s="265">
        <f>SalesForecastYear1!H34+(SalesForecastYear1!H34*$C$7)</f>
        <v>6</v>
      </c>
      <c r="I18" s="265">
        <f>SalesForecastYear1!I34+(SalesForecastYear1!I34*$C$7)</f>
        <v>6</v>
      </c>
      <c r="J18" s="265">
        <f>SalesForecastYear1!J34+(SalesForecastYear1!J34*$C$7)</f>
        <v>6</v>
      </c>
      <c r="K18" s="265">
        <f>SalesForecastYear1!K34+(SalesForecastYear1!K34*$C$7)</f>
        <v>6</v>
      </c>
      <c r="L18" s="265">
        <f>SalesForecastYear1!L34+(SalesForecastYear1!L34*$C$7)</f>
        <v>6</v>
      </c>
      <c r="M18" s="265">
        <f>SalesForecastYear1!M34+(SalesForecastYear1!M34*$C$7)</f>
        <v>6</v>
      </c>
      <c r="N18" s="265">
        <f>SalesForecastYear1!N34+(SalesForecastYear1!N34*$C$7)</f>
        <v>6</v>
      </c>
      <c r="O18" s="281">
        <f>SUM(C18:N18)</f>
        <v>72</v>
      </c>
      <c r="P18" s="7"/>
      <c r="Q18" s="274">
        <f>IF($O$76=0,0,O18/$O$76)</f>
        <v>0</v>
      </c>
      <c r="R18" s="265">
        <f>C18+(C18*$C$8)</f>
        <v>6</v>
      </c>
      <c r="S18" s="265">
        <f t="shared" ref="S18:AC18" si="15">D18+(D18*$C$8)</f>
        <v>6</v>
      </c>
      <c r="T18" s="265">
        <f t="shared" si="15"/>
        <v>6</v>
      </c>
      <c r="U18" s="265">
        <f t="shared" si="15"/>
        <v>6</v>
      </c>
      <c r="V18" s="265">
        <f t="shared" si="15"/>
        <v>6</v>
      </c>
      <c r="W18" s="265">
        <f t="shared" si="15"/>
        <v>6</v>
      </c>
      <c r="X18" s="265">
        <f t="shared" si="15"/>
        <v>6</v>
      </c>
      <c r="Y18" s="265">
        <f t="shared" si="15"/>
        <v>6</v>
      </c>
      <c r="Z18" s="265">
        <f t="shared" si="15"/>
        <v>6</v>
      </c>
      <c r="AA18" s="265">
        <f t="shared" si="15"/>
        <v>6</v>
      </c>
      <c r="AB18" s="265">
        <f t="shared" si="15"/>
        <v>6</v>
      </c>
      <c r="AC18" s="265">
        <f t="shared" si="15"/>
        <v>6</v>
      </c>
      <c r="AD18" s="281">
        <f>SUM(R18:AC18)</f>
        <v>72</v>
      </c>
      <c r="AE18" s="7"/>
      <c r="AF18" s="274">
        <f>IF($O$76=0,0,AD18/$O$76)</f>
        <v>0</v>
      </c>
    </row>
    <row r="19" spans="1:32" x14ac:dyDescent="0.15">
      <c r="A19" s="115" t="s">
        <v>105</v>
      </c>
      <c r="B19" s="261">
        <f>Category2_Annual_Sales</f>
        <v>0</v>
      </c>
      <c r="C19" s="267">
        <f>SalesForecastYear1!C35+(SalesForecastYear1!C35*$C$7)</f>
        <v>0</v>
      </c>
      <c r="D19" s="267">
        <f>SalesForecastYear1!D35+(SalesForecastYear1!D35*$C$7)</f>
        <v>0</v>
      </c>
      <c r="E19" s="267">
        <f>SalesForecastYear1!E35+(SalesForecastYear1!E35*$C$7)</f>
        <v>0</v>
      </c>
      <c r="F19" s="267">
        <f>SalesForecastYear1!F35+(SalesForecastYear1!F35*$C$7)</f>
        <v>0</v>
      </c>
      <c r="G19" s="267">
        <f>SalesForecastYear1!G35+(SalesForecastYear1!G35*$C$7)</f>
        <v>0</v>
      </c>
      <c r="H19" s="267">
        <f>SalesForecastYear1!H35+(SalesForecastYear1!H35*$C$7)</f>
        <v>0</v>
      </c>
      <c r="I19" s="267">
        <f>SalesForecastYear1!I35+(SalesForecastYear1!I35*$C$7)</f>
        <v>0</v>
      </c>
      <c r="J19" s="267">
        <f>SalesForecastYear1!J35+(SalesForecastYear1!J35*$C$7)</f>
        <v>0</v>
      </c>
      <c r="K19" s="267">
        <f>SalesForecastYear1!K35+(SalesForecastYear1!K35*$C$7)</f>
        <v>0</v>
      </c>
      <c r="L19" s="267">
        <f>SalesForecastYear1!L35+(SalesForecastYear1!L35*$C$7)</f>
        <v>0</v>
      </c>
      <c r="M19" s="267">
        <f>SalesForecastYear1!M35+(SalesForecastYear1!M35*$C$7)</f>
        <v>0</v>
      </c>
      <c r="N19" s="267">
        <f>SalesForecastYear1!N35+(SalesForecastYear1!N35*$C$7)</f>
        <v>0</v>
      </c>
      <c r="O19" s="116">
        <f>SUM(C19:N19)</f>
        <v>0</v>
      </c>
      <c r="P19" s="275">
        <f>(P20+P21)</f>
        <v>0</v>
      </c>
      <c r="Q19" s="274">
        <f>IF($O$77=0,0,O19/$O$77)</f>
        <v>0</v>
      </c>
      <c r="R19" s="267">
        <f t="shared" ref="R19:R20" si="16">C19+(C19*$C$8)</f>
        <v>0</v>
      </c>
      <c r="S19" s="267">
        <f t="shared" ref="S19:S20" si="17">D19+(D19*$C$8)</f>
        <v>0</v>
      </c>
      <c r="T19" s="267">
        <f t="shared" ref="T19:T20" si="18">E19+(E19*$C$8)</f>
        <v>0</v>
      </c>
      <c r="U19" s="267">
        <f t="shared" ref="U19:U20" si="19">F19+(F19*$C$8)</f>
        <v>0</v>
      </c>
      <c r="V19" s="267">
        <f t="shared" ref="V19:V20" si="20">G19+(G19*$C$8)</f>
        <v>0</v>
      </c>
      <c r="W19" s="267">
        <f t="shared" ref="W19:W20" si="21">H19+(H19*$C$8)</f>
        <v>0</v>
      </c>
      <c r="X19" s="267">
        <f t="shared" ref="X19:X20" si="22">I19+(I19*$C$8)</f>
        <v>0</v>
      </c>
      <c r="Y19" s="267">
        <f t="shared" ref="Y19:Y20" si="23">J19+(J19*$C$8)</f>
        <v>0</v>
      </c>
      <c r="Z19" s="267">
        <f t="shared" ref="Z19:Z20" si="24">K19+(K19*$C$8)</f>
        <v>0</v>
      </c>
      <c r="AA19" s="267">
        <f t="shared" ref="AA19:AA20" si="25">L19+(L19*$C$8)</f>
        <v>0</v>
      </c>
      <c r="AB19" s="267">
        <f t="shared" ref="AB19:AB20" si="26">M19+(M19*$C$8)</f>
        <v>0</v>
      </c>
      <c r="AC19" s="267">
        <f t="shared" ref="AC19:AC20" si="27">N19+(N19*$C$8)</f>
        <v>0</v>
      </c>
      <c r="AD19" s="116">
        <f>SUM(R19:AC19)</f>
        <v>0</v>
      </c>
      <c r="AE19" s="275">
        <f>(AE20+AE21)</f>
        <v>0</v>
      </c>
      <c r="AF19" s="274">
        <f>IF($O$77=0,0,AD19/$O$77)</f>
        <v>0</v>
      </c>
    </row>
    <row r="20" spans="1:32" x14ac:dyDescent="0.15">
      <c r="A20" s="115" t="s">
        <v>204</v>
      </c>
      <c r="B20" s="261" t="e">
        <f>SalesForecastYear1!#REF!</f>
        <v>#REF!</v>
      </c>
      <c r="C20" s="267" t="e">
        <f>SalesForecastYear1!#REF!+(SalesForecastYear1!#REF!*$C$7)</f>
        <v>#REF!</v>
      </c>
      <c r="D20" s="267" t="e">
        <f>SalesForecastYear1!#REF!+(SalesForecastYear1!#REF!*$C$7)</f>
        <v>#REF!</v>
      </c>
      <c r="E20" s="267" t="e">
        <f>SalesForecastYear1!#REF!+(SalesForecastYear1!#REF!*$C$7)</f>
        <v>#REF!</v>
      </c>
      <c r="F20" s="267" t="e">
        <f>SalesForecastYear1!#REF!+(SalesForecastYear1!#REF!*$C$7)</f>
        <v>#REF!</v>
      </c>
      <c r="G20" s="267" t="e">
        <f>SalesForecastYear1!#REF!+(SalesForecastYear1!#REF!*$C$7)</f>
        <v>#REF!</v>
      </c>
      <c r="H20" s="267" t="e">
        <f>SalesForecastYear1!#REF!+(SalesForecastYear1!#REF!*$C$7)</f>
        <v>#REF!</v>
      </c>
      <c r="I20" s="267" t="e">
        <f>SalesForecastYear1!#REF!+(SalesForecastYear1!#REF!*$C$7)</f>
        <v>#REF!</v>
      </c>
      <c r="J20" s="267" t="e">
        <f>SalesForecastYear1!#REF!+(SalesForecastYear1!#REF!*$C$7)</f>
        <v>#REF!</v>
      </c>
      <c r="K20" s="267" t="e">
        <f>SalesForecastYear1!#REF!+(SalesForecastYear1!#REF!*$C$7)</f>
        <v>#REF!</v>
      </c>
      <c r="L20" s="267" t="e">
        <f>SalesForecastYear1!#REF!+(SalesForecastYear1!#REF!*$C$7)</f>
        <v>#REF!</v>
      </c>
      <c r="M20" s="267" t="e">
        <f>SalesForecastYear1!#REF!+(SalesForecastYear1!#REF!*$C$7)</f>
        <v>#REF!</v>
      </c>
      <c r="N20" s="267" t="e">
        <f>SalesForecastYear1!#REF!+(SalesForecastYear1!#REF!*$C$7)</f>
        <v>#REF!</v>
      </c>
      <c r="O20" s="116" t="e">
        <f>SUM(C20:N20)</f>
        <v>#REF!</v>
      </c>
      <c r="P20" s="275">
        <f>IF(O19=0,0,O20/O19)</f>
        <v>0</v>
      </c>
      <c r="Q20" s="274">
        <f>IF($O$78=0,0,O20/$O$78)</f>
        <v>0</v>
      </c>
      <c r="R20" s="267" t="e">
        <f t="shared" si="16"/>
        <v>#REF!</v>
      </c>
      <c r="S20" s="267" t="e">
        <f t="shared" si="17"/>
        <v>#REF!</v>
      </c>
      <c r="T20" s="267" t="e">
        <f t="shared" si="18"/>
        <v>#REF!</v>
      </c>
      <c r="U20" s="267" t="e">
        <f t="shared" si="19"/>
        <v>#REF!</v>
      </c>
      <c r="V20" s="267" t="e">
        <f t="shared" si="20"/>
        <v>#REF!</v>
      </c>
      <c r="W20" s="267" t="e">
        <f t="shared" si="21"/>
        <v>#REF!</v>
      </c>
      <c r="X20" s="267" t="e">
        <f t="shared" si="22"/>
        <v>#REF!</v>
      </c>
      <c r="Y20" s="267" t="e">
        <f t="shared" si="23"/>
        <v>#REF!</v>
      </c>
      <c r="Z20" s="267" t="e">
        <f t="shared" si="24"/>
        <v>#REF!</v>
      </c>
      <c r="AA20" s="267" t="e">
        <f t="shared" si="25"/>
        <v>#REF!</v>
      </c>
      <c r="AB20" s="267" t="e">
        <f t="shared" si="26"/>
        <v>#REF!</v>
      </c>
      <c r="AC20" s="267" t="e">
        <f t="shared" si="27"/>
        <v>#REF!</v>
      </c>
      <c r="AD20" s="116" t="e">
        <f>SUM(R20:AC20)</f>
        <v>#REF!</v>
      </c>
      <c r="AE20" s="275">
        <f>IF(AD19=0,0,AD20/AD19)</f>
        <v>0</v>
      </c>
      <c r="AF20" s="274">
        <f>IF($O$78=0,0,AD20/$O$78)</f>
        <v>0</v>
      </c>
    </row>
    <row r="21" spans="1:32" x14ac:dyDescent="0.15">
      <c r="A21" s="107" t="s">
        <v>103</v>
      </c>
      <c r="B21" s="262" t="e">
        <f>SalesForecastYear1!#REF!</f>
        <v>#REF!</v>
      </c>
      <c r="C21" s="267" t="e">
        <f>C19-C20</f>
        <v>#REF!</v>
      </c>
      <c r="D21" s="267" t="e">
        <f t="shared" ref="D21:N21" si="28">D19-D20</f>
        <v>#REF!</v>
      </c>
      <c r="E21" s="267" t="e">
        <f t="shared" si="28"/>
        <v>#REF!</v>
      </c>
      <c r="F21" s="267" t="e">
        <f t="shared" si="28"/>
        <v>#REF!</v>
      </c>
      <c r="G21" s="267" t="e">
        <f t="shared" si="28"/>
        <v>#REF!</v>
      </c>
      <c r="H21" s="267" t="e">
        <f t="shared" si="28"/>
        <v>#REF!</v>
      </c>
      <c r="I21" s="267" t="e">
        <f t="shared" si="28"/>
        <v>#REF!</v>
      </c>
      <c r="J21" s="267" t="e">
        <f t="shared" si="28"/>
        <v>#REF!</v>
      </c>
      <c r="K21" s="267" t="e">
        <f t="shared" si="28"/>
        <v>#REF!</v>
      </c>
      <c r="L21" s="267" t="e">
        <f t="shared" si="28"/>
        <v>#REF!</v>
      </c>
      <c r="M21" s="267" t="e">
        <f t="shared" si="28"/>
        <v>#REF!</v>
      </c>
      <c r="N21" s="267" t="e">
        <f t="shared" si="28"/>
        <v>#REF!</v>
      </c>
      <c r="O21" s="116" t="e">
        <f>SUM(C21:N21)</f>
        <v>#REF!</v>
      </c>
      <c r="P21" s="275">
        <f>IF(O19=0,0,O21/O19)</f>
        <v>0</v>
      </c>
      <c r="Q21" s="274">
        <f>IF($O$79=0,0,O21/$O$79)</f>
        <v>0</v>
      </c>
      <c r="R21" s="267" t="e">
        <f>R19-R20</f>
        <v>#REF!</v>
      </c>
      <c r="S21" s="267" t="e">
        <f t="shared" ref="S21:AC21" si="29">S19-S20</f>
        <v>#REF!</v>
      </c>
      <c r="T21" s="267" t="e">
        <f t="shared" si="29"/>
        <v>#REF!</v>
      </c>
      <c r="U21" s="267" t="e">
        <f t="shared" si="29"/>
        <v>#REF!</v>
      </c>
      <c r="V21" s="267" t="e">
        <f t="shared" si="29"/>
        <v>#REF!</v>
      </c>
      <c r="W21" s="267" t="e">
        <f t="shared" si="29"/>
        <v>#REF!</v>
      </c>
      <c r="X21" s="267" t="e">
        <f t="shared" si="29"/>
        <v>#REF!</v>
      </c>
      <c r="Y21" s="267" t="e">
        <f t="shared" si="29"/>
        <v>#REF!</v>
      </c>
      <c r="Z21" s="267" t="e">
        <f t="shared" si="29"/>
        <v>#REF!</v>
      </c>
      <c r="AA21" s="267" t="e">
        <f t="shared" si="29"/>
        <v>#REF!</v>
      </c>
      <c r="AB21" s="267" t="e">
        <f t="shared" si="29"/>
        <v>#REF!</v>
      </c>
      <c r="AC21" s="267" t="e">
        <f t="shared" si="29"/>
        <v>#REF!</v>
      </c>
      <c r="AD21" s="116" t="e">
        <f>SUM(R21:AC21)</f>
        <v>#REF!</v>
      </c>
      <c r="AE21" s="275">
        <f>IF(AD19=0,0,AD21/AD19)</f>
        <v>0</v>
      </c>
      <c r="AF21" s="274">
        <f>IF($O$79=0,0,AD21/$O$79)</f>
        <v>0</v>
      </c>
    </row>
    <row r="22" spans="1:32" x14ac:dyDescent="0.15">
      <c r="A22" s="108"/>
      <c r="B22" s="258"/>
      <c r="C22" s="110"/>
      <c r="D22" s="110"/>
      <c r="E22" s="110"/>
      <c r="F22" s="110"/>
      <c r="G22" s="110"/>
      <c r="H22" s="110"/>
      <c r="I22" s="110"/>
      <c r="J22" s="110"/>
      <c r="K22" s="110"/>
      <c r="L22" s="110"/>
      <c r="M22" s="110"/>
      <c r="N22" s="110"/>
      <c r="O22" s="111"/>
      <c r="P22" s="7"/>
      <c r="Q22" s="103"/>
      <c r="R22" s="110"/>
      <c r="S22" s="110"/>
      <c r="T22" s="110"/>
      <c r="U22" s="110"/>
      <c r="V22" s="110"/>
      <c r="W22" s="110"/>
      <c r="X22" s="110"/>
      <c r="Y22" s="110"/>
      <c r="Z22" s="110"/>
      <c r="AA22" s="110"/>
      <c r="AB22" s="110"/>
      <c r="AC22" s="110"/>
      <c r="AD22" s="111"/>
      <c r="AE22" s="7"/>
      <c r="AF22" s="103"/>
    </row>
    <row r="23" spans="1:32" x14ac:dyDescent="0.15">
      <c r="A23" s="112" t="str">
        <f>SalesForecastYear1!B40</f>
        <v>Classroom or program 3</v>
      </c>
      <c r="B23" s="112"/>
      <c r="C23" s="117"/>
      <c r="D23" s="117"/>
      <c r="E23" s="117"/>
      <c r="F23" s="117"/>
      <c r="G23" s="117"/>
      <c r="H23" s="117"/>
      <c r="I23" s="117"/>
      <c r="J23" s="117"/>
      <c r="K23" s="117"/>
      <c r="L23" s="117"/>
      <c r="M23" s="117"/>
      <c r="N23" s="117"/>
      <c r="O23" s="114"/>
      <c r="P23" s="7"/>
      <c r="Q23" s="103"/>
      <c r="R23" s="117"/>
      <c r="S23" s="117"/>
      <c r="T23" s="117"/>
      <c r="U23" s="117"/>
      <c r="V23" s="117"/>
      <c r="W23" s="117"/>
      <c r="X23" s="117"/>
      <c r="Y23" s="117"/>
      <c r="Z23" s="117"/>
      <c r="AA23" s="117"/>
      <c r="AB23" s="117"/>
      <c r="AC23" s="117"/>
      <c r="AD23" s="114"/>
      <c r="AE23" s="7"/>
      <c r="AF23" s="103"/>
    </row>
    <row r="24" spans="1:32" x14ac:dyDescent="0.15">
      <c r="A24" s="101" t="str">
        <f>Unit3&amp; " Sold"</f>
        <v>0 Sold</v>
      </c>
      <c r="B24" s="101">
        <f>Unit3_Annual</f>
        <v>11</v>
      </c>
      <c r="C24" s="265">
        <f>SalesForecastYear1!C41+ (SalesForecastYear1!C41*$C$7)</f>
        <v>11</v>
      </c>
      <c r="D24" s="265">
        <f>SalesForecastYear1!D41+ (SalesForecastYear1!D41*$C$7)</f>
        <v>11</v>
      </c>
      <c r="E24" s="265">
        <f>SalesForecastYear1!E41+ (SalesForecastYear1!E41*$C$7)</f>
        <v>11</v>
      </c>
      <c r="F24" s="265">
        <f>SalesForecastYear1!F41+ (SalesForecastYear1!F41*$C$7)</f>
        <v>11</v>
      </c>
      <c r="G24" s="265">
        <f>SalesForecastYear1!G41+ (SalesForecastYear1!G41*$C$7)</f>
        <v>11</v>
      </c>
      <c r="H24" s="265">
        <f>SalesForecastYear1!H41+ (SalesForecastYear1!H41*$C$7)</f>
        <v>11</v>
      </c>
      <c r="I24" s="265">
        <f>SalesForecastYear1!I41+ (SalesForecastYear1!I41*$C$7)</f>
        <v>11</v>
      </c>
      <c r="J24" s="265">
        <f>SalesForecastYear1!J41+ (SalesForecastYear1!J41*$C$7)</f>
        <v>11</v>
      </c>
      <c r="K24" s="265">
        <f>SalesForecastYear1!K41+ (SalesForecastYear1!K41*$C$7)</f>
        <v>11</v>
      </c>
      <c r="L24" s="265">
        <f>SalesForecastYear1!L41+ (SalesForecastYear1!L41*$C$7)</f>
        <v>11</v>
      </c>
      <c r="M24" s="265">
        <f>SalesForecastYear1!M41+ (SalesForecastYear1!M41*$C$7)</f>
        <v>11</v>
      </c>
      <c r="N24" s="265">
        <f>SalesForecastYear1!N41+ (SalesForecastYear1!N41*$C$7)</f>
        <v>11</v>
      </c>
      <c r="O24" s="281">
        <f>SUM(C24:N24)</f>
        <v>132</v>
      </c>
      <c r="P24" s="7"/>
      <c r="Q24" s="274">
        <f>IF($O$76=0,0,O24/$O$76)</f>
        <v>0</v>
      </c>
      <c r="R24" s="265">
        <f>C24+(C24*$C$8)</f>
        <v>11</v>
      </c>
      <c r="S24" s="265">
        <f t="shared" ref="S24:AC24" si="30">D24+(D24*$C$8)</f>
        <v>11</v>
      </c>
      <c r="T24" s="265">
        <f t="shared" si="30"/>
        <v>11</v>
      </c>
      <c r="U24" s="265">
        <f t="shared" si="30"/>
        <v>11</v>
      </c>
      <c r="V24" s="265">
        <f t="shared" si="30"/>
        <v>11</v>
      </c>
      <c r="W24" s="265">
        <f t="shared" si="30"/>
        <v>11</v>
      </c>
      <c r="X24" s="265">
        <f t="shared" si="30"/>
        <v>11</v>
      </c>
      <c r="Y24" s="265">
        <f t="shared" si="30"/>
        <v>11</v>
      </c>
      <c r="Z24" s="265">
        <f t="shared" si="30"/>
        <v>11</v>
      </c>
      <c r="AA24" s="265">
        <f t="shared" si="30"/>
        <v>11</v>
      </c>
      <c r="AB24" s="265">
        <f t="shared" si="30"/>
        <v>11</v>
      </c>
      <c r="AC24" s="265">
        <f t="shared" si="30"/>
        <v>11</v>
      </c>
      <c r="AD24" s="281">
        <f>SUM(R24:AC24)</f>
        <v>132</v>
      </c>
      <c r="AE24" s="7"/>
      <c r="AF24" s="274">
        <f>IF($O$76=0,0,AD24/$O$76)</f>
        <v>0</v>
      </c>
    </row>
    <row r="25" spans="1:32" x14ac:dyDescent="0.15">
      <c r="A25" s="115" t="s">
        <v>105</v>
      </c>
      <c r="B25" s="263">
        <f>Category3_Annual_Sales</f>
        <v>0</v>
      </c>
      <c r="C25" s="267">
        <f>SalesForecastYear1!C42+ (SalesForecastYear1!C42*$C$7)</f>
        <v>0</v>
      </c>
      <c r="D25" s="267">
        <f>SalesForecastYear1!D42+ (SalesForecastYear1!D42*$C$7)</f>
        <v>0</v>
      </c>
      <c r="E25" s="267">
        <f>SalesForecastYear1!E42+ (SalesForecastYear1!E42*$C$7)</f>
        <v>0</v>
      </c>
      <c r="F25" s="267">
        <f>SalesForecastYear1!F42+ (SalesForecastYear1!F42*$C$7)</f>
        <v>0</v>
      </c>
      <c r="G25" s="267">
        <f>SalesForecastYear1!G42+ (SalesForecastYear1!G42*$C$7)</f>
        <v>0</v>
      </c>
      <c r="H25" s="267">
        <f>SalesForecastYear1!H42+ (SalesForecastYear1!H42*$C$7)</f>
        <v>0</v>
      </c>
      <c r="I25" s="267">
        <f>SalesForecastYear1!I42+ (SalesForecastYear1!I42*$C$7)</f>
        <v>0</v>
      </c>
      <c r="J25" s="267">
        <f>SalesForecastYear1!J42+ (SalesForecastYear1!J42*$C$7)</f>
        <v>0</v>
      </c>
      <c r="K25" s="267">
        <f>SalesForecastYear1!K42+ (SalesForecastYear1!K42*$C$7)</f>
        <v>0</v>
      </c>
      <c r="L25" s="267">
        <f>SalesForecastYear1!L42+ (SalesForecastYear1!L42*$C$7)</f>
        <v>0</v>
      </c>
      <c r="M25" s="267">
        <f>SalesForecastYear1!M42+ (SalesForecastYear1!M42*$C$7)</f>
        <v>0</v>
      </c>
      <c r="N25" s="267">
        <f>SalesForecastYear1!N42+ (SalesForecastYear1!N42*$C$7)</f>
        <v>0</v>
      </c>
      <c r="O25" s="116">
        <f>SUM(C25:N25)</f>
        <v>0</v>
      </c>
      <c r="P25" s="275">
        <f>(P26+P27)</f>
        <v>0</v>
      </c>
      <c r="Q25" s="274">
        <f>IF($O$77=0,0,O25/$O$77)</f>
        <v>0</v>
      </c>
      <c r="R25" s="267">
        <f t="shared" ref="R25:R26" si="31">C25+(C25*$C$8)</f>
        <v>0</v>
      </c>
      <c r="S25" s="267">
        <f t="shared" ref="S25:S26" si="32">D25+(D25*$C$8)</f>
        <v>0</v>
      </c>
      <c r="T25" s="267">
        <f t="shared" ref="T25:T26" si="33">E25+(E25*$C$8)</f>
        <v>0</v>
      </c>
      <c r="U25" s="267">
        <f t="shared" ref="U25:U26" si="34">F25+(F25*$C$8)</f>
        <v>0</v>
      </c>
      <c r="V25" s="267">
        <f t="shared" ref="V25:V26" si="35">G25+(G25*$C$8)</f>
        <v>0</v>
      </c>
      <c r="W25" s="267">
        <f t="shared" ref="W25:W26" si="36">H25+(H25*$C$8)</f>
        <v>0</v>
      </c>
      <c r="X25" s="267">
        <f t="shared" ref="X25:X26" si="37">I25+(I25*$C$8)</f>
        <v>0</v>
      </c>
      <c r="Y25" s="267">
        <f t="shared" ref="Y25:Y26" si="38">J25+(J25*$C$8)</f>
        <v>0</v>
      </c>
      <c r="Z25" s="267">
        <f t="shared" ref="Z25:Z26" si="39">K25+(K25*$C$8)</f>
        <v>0</v>
      </c>
      <c r="AA25" s="267">
        <f t="shared" ref="AA25:AA26" si="40">L25+(L25*$C$8)</f>
        <v>0</v>
      </c>
      <c r="AB25" s="267">
        <f t="shared" ref="AB25:AB26" si="41">M25+(M25*$C$8)</f>
        <v>0</v>
      </c>
      <c r="AC25" s="267">
        <f t="shared" ref="AC25:AC26" si="42">N25+(N25*$C$8)</f>
        <v>0</v>
      </c>
      <c r="AD25" s="116">
        <f>SUM(R25:AC25)</f>
        <v>0</v>
      </c>
      <c r="AE25" s="275">
        <f>(AE26+AE27)</f>
        <v>0</v>
      </c>
      <c r="AF25" s="274">
        <f>IF($O$77=0,0,AD25/$O$77)</f>
        <v>0</v>
      </c>
    </row>
    <row r="26" spans="1:32" x14ac:dyDescent="0.15">
      <c r="A26" s="115" t="s">
        <v>204</v>
      </c>
      <c r="B26" s="263" t="e">
        <f>SalesForecastYear1!#REF!</f>
        <v>#REF!</v>
      </c>
      <c r="C26" s="267" t="e">
        <f>SalesForecastYear1!E46+ (SalesForecastYear1!E46*$C$7)</f>
        <v>#VALUE!</v>
      </c>
      <c r="D26" s="267" t="e">
        <f>SalesForecastYear1!F46+ (SalesForecastYear1!F46*$C$7)</f>
        <v>#VALUE!</v>
      </c>
      <c r="E26" s="267" t="e">
        <f>SalesForecastYear1!G46+ (SalesForecastYear1!G46*$C$7)</f>
        <v>#VALUE!</v>
      </c>
      <c r="F26" s="267" t="e">
        <f>SalesForecastYear1!H46+ (SalesForecastYear1!H46*$C$7)</f>
        <v>#VALUE!</v>
      </c>
      <c r="G26" s="267" t="e">
        <f>SalesForecastYear1!I46+ (SalesForecastYear1!I46*$C$7)</f>
        <v>#VALUE!</v>
      </c>
      <c r="H26" s="267" t="e">
        <f>SalesForecastYear1!J46+ (SalesForecastYear1!J46*$C$7)</f>
        <v>#VALUE!</v>
      </c>
      <c r="I26" s="267" t="e">
        <f>SalesForecastYear1!K46+ (SalesForecastYear1!K46*$C$7)</f>
        <v>#VALUE!</v>
      </c>
      <c r="J26" s="267" t="e">
        <f>SalesForecastYear1!L46+ (SalesForecastYear1!L46*$C$7)</f>
        <v>#VALUE!</v>
      </c>
      <c r="K26" s="267" t="e">
        <f>SalesForecastYear1!M46+ (SalesForecastYear1!M46*$C$7)</f>
        <v>#VALUE!</v>
      </c>
      <c r="L26" s="267" t="e">
        <f>SalesForecastYear1!N46+ (SalesForecastYear1!N46*$C$7)</f>
        <v>#VALUE!</v>
      </c>
      <c r="M26" s="267" t="e">
        <f>SalesForecastYear1!O46+ (SalesForecastYear1!O46*$C$7)</f>
        <v>#VALUE!</v>
      </c>
      <c r="N26" s="267" t="e">
        <f>SalesForecastYear1!#REF!+ (SalesForecastYear1!#REF!*$C$7)</f>
        <v>#REF!</v>
      </c>
      <c r="O26" s="116" t="e">
        <f>SUM(C26:N26)</f>
        <v>#VALUE!</v>
      </c>
      <c r="P26" s="275">
        <f>IF(O25=0,0,O26/O25)</f>
        <v>0</v>
      </c>
      <c r="Q26" s="274">
        <f>IF($O$78=0,0,O26/$O$78)</f>
        <v>0</v>
      </c>
      <c r="R26" s="267" t="e">
        <f t="shared" si="31"/>
        <v>#VALUE!</v>
      </c>
      <c r="S26" s="267" t="e">
        <f t="shared" si="32"/>
        <v>#VALUE!</v>
      </c>
      <c r="T26" s="267" t="e">
        <f t="shared" si="33"/>
        <v>#VALUE!</v>
      </c>
      <c r="U26" s="267" t="e">
        <f t="shared" si="34"/>
        <v>#VALUE!</v>
      </c>
      <c r="V26" s="267" t="e">
        <f t="shared" si="35"/>
        <v>#VALUE!</v>
      </c>
      <c r="W26" s="267" t="e">
        <f t="shared" si="36"/>
        <v>#VALUE!</v>
      </c>
      <c r="X26" s="267" t="e">
        <f t="shared" si="37"/>
        <v>#VALUE!</v>
      </c>
      <c r="Y26" s="267" t="e">
        <f t="shared" si="38"/>
        <v>#VALUE!</v>
      </c>
      <c r="Z26" s="267" t="e">
        <f t="shared" si="39"/>
        <v>#VALUE!</v>
      </c>
      <c r="AA26" s="267" t="e">
        <f t="shared" si="40"/>
        <v>#VALUE!</v>
      </c>
      <c r="AB26" s="267" t="e">
        <f t="shared" si="41"/>
        <v>#VALUE!</v>
      </c>
      <c r="AC26" s="267" t="e">
        <f t="shared" si="42"/>
        <v>#REF!</v>
      </c>
      <c r="AD26" s="116" t="e">
        <f>SUM(R26:AC26)</f>
        <v>#VALUE!</v>
      </c>
      <c r="AE26" s="275">
        <f>IF(AD25=0,0,AD26/AD25)</f>
        <v>0</v>
      </c>
      <c r="AF26" s="274">
        <f>IF($O$78=0,0,AD26/$O$78)</f>
        <v>0</v>
      </c>
    </row>
    <row r="27" spans="1:32" x14ac:dyDescent="0.15">
      <c r="A27" s="107" t="s">
        <v>103</v>
      </c>
      <c r="B27" s="262" t="e">
        <f>SalesForecastYear1!#REF!</f>
        <v>#REF!</v>
      </c>
      <c r="C27" s="267" t="e">
        <f>C25-C26</f>
        <v>#VALUE!</v>
      </c>
      <c r="D27" s="267" t="e">
        <f t="shared" ref="D27:N27" si="43">D25-D26</f>
        <v>#VALUE!</v>
      </c>
      <c r="E27" s="267" t="e">
        <f t="shared" si="43"/>
        <v>#VALUE!</v>
      </c>
      <c r="F27" s="267" t="e">
        <f t="shared" si="43"/>
        <v>#VALUE!</v>
      </c>
      <c r="G27" s="267" t="e">
        <f t="shared" si="43"/>
        <v>#VALUE!</v>
      </c>
      <c r="H27" s="267" t="e">
        <f t="shared" si="43"/>
        <v>#VALUE!</v>
      </c>
      <c r="I27" s="267" t="e">
        <f t="shared" si="43"/>
        <v>#VALUE!</v>
      </c>
      <c r="J27" s="267" t="e">
        <f t="shared" si="43"/>
        <v>#VALUE!</v>
      </c>
      <c r="K27" s="267" t="e">
        <f t="shared" si="43"/>
        <v>#VALUE!</v>
      </c>
      <c r="L27" s="267" t="e">
        <f t="shared" si="43"/>
        <v>#VALUE!</v>
      </c>
      <c r="M27" s="267" t="e">
        <f t="shared" si="43"/>
        <v>#VALUE!</v>
      </c>
      <c r="N27" s="267" t="e">
        <f t="shared" si="43"/>
        <v>#REF!</v>
      </c>
      <c r="O27" s="116" t="e">
        <f>SUM(C27:N27)</f>
        <v>#VALUE!</v>
      </c>
      <c r="P27" s="275">
        <f>IF(O25=0,0,O27/O25)</f>
        <v>0</v>
      </c>
      <c r="Q27" s="274">
        <f>IF($O$79=0,0,O27/$O$79)</f>
        <v>0</v>
      </c>
      <c r="R27" s="267" t="e">
        <f>R25-R26</f>
        <v>#VALUE!</v>
      </c>
      <c r="S27" s="267" t="e">
        <f t="shared" ref="S27:AC27" si="44">S25-S26</f>
        <v>#VALUE!</v>
      </c>
      <c r="T27" s="267" t="e">
        <f t="shared" si="44"/>
        <v>#VALUE!</v>
      </c>
      <c r="U27" s="267" t="e">
        <f t="shared" si="44"/>
        <v>#VALUE!</v>
      </c>
      <c r="V27" s="267" t="e">
        <f t="shared" si="44"/>
        <v>#VALUE!</v>
      </c>
      <c r="W27" s="267" t="e">
        <f t="shared" si="44"/>
        <v>#VALUE!</v>
      </c>
      <c r="X27" s="267" t="e">
        <f t="shared" si="44"/>
        <v>#VALUE!</v>
      </c>
      <c r="Y27" s="267" t="e">
        <f t="shared" si="44"/>
        <v>#VALUE!</v>
      </c>
      <c r="Z27" s="267" t="e">
        <f t="shared" si="44"/>
        <v>#VALUE!</v>
      </c>
      <c r="AA27" s="267" t="e">
        <f t="shared" si="44"/>
        <v>#VALUE!</v>
      </c>
      <c r="AB27" s="267" t="e">
        <f t="shared" si="44"/>
        <v>#VALUE!</v>
      </c>
      <c r="AC27" s="267" t="e">
        <f t="shared" si="44"/>
        <v>#REF!</v>
      </c>
      <c r="AD27" s="116" t="e">
        <f>SUM(R27:AC27)</f>
        <v>#VALUE!</v>
      </c>
      <c r="AE27" s="275">
        <f>IF(AD25=0,0,AD27/AD25)</f>
        <v>0</v>
      </c>
      <c r="AF27" s="274">
        <f>IF($O$79=0,0,AD27/$O$79)</f>
        <v>0</v>
      </c>
    </row>
    <row r="28" spans="1:32" x14ac:dyDescent="0.15">
      <c r="A28" s="118"/>
      <c r="B28" s="259"/>
      <c r="C28" s="110"/>
      <c r="D28" s="110"/>
      <c r="E28" s="110"/>
      <c r="F28" s="110"/>
      <c r="G28" s="110"/>
      <c r="H28" s="110"/>
      <c r="I28" s="110"/>
      <c r="J28" s="110"/>
      <c r="K28" s="110"/>
      <c r="L28" s="110"/>
      <c r="M28" s="110"/>
      <c r="N28" s="110"/>
      <c r="O28" s="111"/>
      <c r="P28" s="7"/>
      <c r="Q28" s="103"/>
      <c r="R28" s="110"/>
      <c r="S28" s="110"/>
      <c r="T28" s="110"/>
      <c r="U28" s="110"/>
      <c r="V28" s="110"/>
      <c r="W28" s="110"/>
      <c r="X28" s="110"/>
      <c r="Y28" s="110"/>
      <c r="Z28" s="110"/>
      <c r="AA28" s="110"/>
      <c r="AB28" s="110"/>
      <c r="AC28" s="110"/>
      <c r="AD28" s="111"/>
      <c r="AE28" s="7"/>
      <c r="AF28" s="103"/>
    </row>
    <row r="29" spans="1:32" x14ac:dyDescent="0.15">
      <c r="A29" s="112" t="str">
        <f>SalesForecastYear1!B47</f>
        <v>Classroom or program 4</v>
      </c>
      <c r="B29" s="112"/>
      <c r="C29" s="113"/>
      <c r="D29" s="113"/>
      <c r="E29" s="113"/>
      <c r="F29" s="113"/>
      <c r="G29" s="113"/>
      <c r="H29" s="113"/>
      <c r="I29" s="113"/>
      <c r="J29" s="113"/>
      <c r="K29" s="113"/>
      <c r="L29" s="113"/>
      <c r="M29" s="113"/>
      <c r="N29" s="113"/>
      <c r="O29" s="114"/>
      <c r="P29" s="7"/>
      <c r="Q29" s="103"/>
      <c r="R29" s="113"/>
      <c r="S29" s="113"/>
      <c r="T29" s="113"/>
      <c r="U29" s="113"/>
      <c r="V29" s="113"/>
      <c r="W29" s="113"/>
      <c r="X29" s="113"/>
      <c r="Y29" s="113"/>
      <c r="Z29" s="113"/>
      <c r="AA29" s="113"/>
      <c r="AB29" s="113"/>
      <c r="AC29" s="113"/>
      <c r="AD29" s="114"/>
      <c r="AE29" s="7"/>
      <c r="AF29" s="103"/>
    </row>
    <row r="30" spans="1:32" x14ac:dyDescent="0.15">
      <c r="A30" s="101" t="str">
        <f>Unit4&amp; " Sold"</f>
        <v>0 Sold</v>
      </c>
      <c r="B30" s="101">
        <f>Unit4_Annual</f>
        <v>15</v>
      </c>
      <c r="C30" s="266">
        <f>SalesForecastYear1!C48+(SalesForecastYear1!C48*$C$7)</f>
        <v>15</v>
      </c>
      <c r="D30" s="266">
        <f>SalesForecastYear1!D48+(SalesForecastYear1!D48*$C$7)</f>
        <v>15</v>
      </c>
      <c r="E30" s="266">
        <f>SalesForecastYear1!E48+(SalesForecastYear1!E48*$C$7)</f>
        <v>15</v>
      </c>
      <c r="F30" s="266">
        <f>SalesForecastYear1!F48+(SalesForecastYear1!F48*$C$7)</f>
        <v>15</v>
      </c>
      <c r="G30" s="266">
        <f>SalesForecastYear1!G48+(SalesForecastYear1!G48*$C$7)</f>
        <v>15</v>
      </c>
      <c r="H30" s="266">
        <f>SalesForecastYear1!H48+(SalesForecastYear1!H48*$C$7)</f>
        <v>15</v>
      </c>
      <c r="I30" s="266">
        <f>SalesForecastYear1!I48+(SalesForecastYear1!I48*$C$7)</f>
        <v>15</v>
      </c>
      <c r="J30" s="266">
        <f>SalesForecastYear1!J48+(SalesForecastYear1!J48*$C$7)</f>
        <v>15</v>
      </c>
      <c r="K30" s="266">
        <f>SalesForecastYear1!K48+(SalesForecastYear1!K48*$C$7)</f>
        <v>15</v>
      </c>
      <c r="L30" s="266">
        <f>SalesForecastYear1!L48+(SalesForecastYear1!L48*$C$7)</f>
        <v>15</v>
      </c>
      <c r="M30" s="266">
        <f>SalesForecastYear1!M48+(SalesForecastYear1!M48*$C$7)</f>
        <v>15</v>
      </c>
      <c r="N30" s="266">
        <f>SalesForecastYear1!N48+(SalesForecastYear1!N48*$C$7)</f>
        <v>15</v>
      </c>
      <c r="O30" s="281">
        <f>SUM(C30:N30)</f>
        <v>180</v>
      </c>
      <c r="P30" s="7"/>
      <c r="Q30" s="274">
        <f>IF($O$76=0,0,O30/$O$76)</f>
        <v>0</v>
      </c>
      <c r="R30" s="266">
        <f>C30+(C30*$C$8)</f>
        <v>15</v>
      </c>
      <c r="S30" s="266">
        <f t="shared" ref="S30:AC30" si="45">D30+(D30*$C$8)</f>
        <v>15</v>
      </c>
      <c r="T30" s="266">
        <f t="shared" si="45"/>
        <v>15</v>
      </c>
      <c r="U30" s="266">
        <f t="shared" si="45"/>
        <v>15</v>
      </c>
      <c r="V30" s="266">
        <f t="shared" si="45"/>
        <v>15</v>
      </c>
      <c r="W30" s="266">
        <f t="shared" si="45"/>
        <v>15</v>
      </c>
      <c r="X30" s="266">
        <f t="shared" si="45"/>
        <v>15</v>
      </c>
      <c r="Y30" s="266">
        <f t="shared" si="45"/>
        <v>15</v>
      </c>
      <c r="Z30" s="266">
        <f t="shared" si="45"/>
        <v>15</v>
      </c>
      <c r="AA30" s="266">
        <f t="shared" si="45"/>
        <v>15</v>
      </c>
      <c r="AB30" s="266">
        <f t="shared" si="45"/>
        <v>15</v>
      </c>
      <c r="AC30" s="266">
        <f t="shared" si="45"/>
        <v>15</v>
      </c>
      <c r="AD30" s="281">
        <f>SUM(R30:AC30)</f>
        <v>180</v>
      </c>
      <c r="AE30" s="7"/>
      <c r="AF30" s="274">
        <f>IF($O$76=0,0,AD30/$O$76)</f>
        <v>0</v>
      </c>
    </row>
    <row r="31" spans="1:32" x14ac:dyDescent="0.15">
      <c r="A31" s="115" t="s">
        <v>105</v>
      </c>
      <c r="B31" s="115">
        <f>Category4_Annual_Sales</f>
        <v>0</v>
      </c>
      <c r="C31" s="268">
        <f>SalesForecastYear1!C49+(SalesForecastYear1!C49*$C$7)</f>
        <v>0</v>
      </c>
      <c r="D31" s="268">
        <f>SalesForecastYear1!D49+(SalesForecastYear1!D49*$C$7)</f>
        <v>0</v>
      </c>
      <c r="E31" s="268">
        <f>SalesForecastYear1!E49+(SalesForecastYear1!E49*$C$7)</f>
        <v>0</v>
      </c>
      <c r="F31" s="268">
        <f>SalesForecastYear1!F49+(SalesForecastYear1!F49*$C$7)</f>
        <v>0</v>
      </c>
      <c r="G31" s="268">
        <f>SalesForecastYear1!G49+(SalesForecastYear1!G49*$C$7)</f>
        <v>0</v>
      </c>
      <c r="H31" s="268">
        <f>SalesForecastYear1!H49+(SalesForecastYear1!H49*$C$7)</f>
        <v>0</v>
      </c>
      <c r="I31" s="268">
        <f>SalesForecastYear1!I49+(SalesForecastYear1!I49*$C$7)</f>
        <v>0</v>
      </c>
      <c r="J31" s="268">
        <f>SalesForecastYear1!J49+(SalesForecastYear1!J49*$C$7)</f>
        <v>0</v>
      </c>
      <c r="K31" s="268">
        <f>SalesForecastYear1!K49+(SalesForecastYear1!K49*$C$7)</f>
        <v>0</v>
      </c>
      <c r="L31" s="268">
        <f>SalesForecastYear1!L49+(SalesForecastYear1!L49*$C$7)</f>
        <v>0</v>
      </c>
      <c r="M31" s="268">
        <f>SalesForecastYear1!M49+(SalesForecastYear1!M49*$C$7)</f>
        <v>0</v>
      </c>
      <c r="N31" s="268">
        <f>SalesForecastYear1!N49+(SalesForecastYear1!N49*$C$7)</f>
        <v>0</v>
      </c>
      <c r="O31" s="105">
        <f>SUM(C31:N31)</f>
        <v>0</v>
      </c>
      <c r="P31" s="275">
        <f>(P32+P33)</f>
        <v>0</v>
      </c>
      <c r="Q31" s="274">
        <f>IF($O$77=0,0,O31/$O$77)</f>
        <v>0</v>
      </c>
      <c r="R31" s="268">
        <f t="shared" ref="R31:R32" si="46">C31+(C31*$C$8)</f>
        <v>0</v>
      </c>
      <c r="S31" s="268">
        <f t="shared" ref="S31:S32" si="47">D31+(D31*$C$8)</f>
        <v>0</v>
      </c>
      <c r="T31" s="268">
        <f t="shared" ref="T31:T32" si="48">E31+(E31*$C$8)</f>
        <v>0</v>
      </c>
      <c r="U31" s="268">
        <f t="shared" ref="U31:U32" si="49">F31+(F31*$C$8)</f>
        <v>0</v>
      </c>
      <c r="V31" s="268">
        <f t="shared" ref="V31:V32" si="50">G31+(G31*$C$8)</f>
        <v>0</v>
      </c>
      <c r="W31" s="268">
        <f t="shared" ref="W31:W32" si="51">H31+(H31*$C$8)</f>
        <v>0</v>
      </c>
      <c r="X31" s="268">
        <f t="shared" ref="X31:X32" si="52">I31+(I31*$C$8)</f>
        <v>0</v>
      </c>
      <c r="Y31" s="268">
        <f t="shared" ref="Y31:Y32" si="53">J31+(J31*$C$8)</f>
        <v>0</v>
      </c>
      <c r="Z31" s="268">
        <f t="shared" ref="Z31:Z32" si="54">K31+(K31*$C$8)</f>
        <v>0</v>
      </c>
      <c r="AA31" s="268">
        <f t="shared" ref="AA31:AA32" si="55">L31+(L31*$C$8)</f>
        <v>0</v>
      </c>
      <c r="AB31" s="268">
        <f t="shared" ref="AB31:AB32" si="56">M31+(M31*$C$8)</f>
        <v>0</v>
      </c>
      <c r="AC31" s="268">
        <f t="shared" ref="AC31:AC32" si="57">N31+(N31*$C$8)</f>
        <v>0</v>
      </c>
      <c r="AD31" s="105">
        <f>SUM(R31:AC31)</f>
        <v>0</v>
      </c>
      <c r="AE31" s="275">
        <f>(AE32+AE33)</f>
        <v>0</v>
      </c>
      <c r="AF31" s="274">
        <f>IF($O$77=0,0,AD31/$O$77)</f>
        <v>0</v>
      </c>
    </row>
    <row r="32" spans="1:32" x14ac:dyDescent="0.15">
      <c r="A32" s="115" t="s">
        <v>204</v>
      </c>
      <c r="B32" s="263" t="e">
        <f>SalesForecastYear1!#REF!</f>
        <v>#REF!</v>
      </c>
      <c r="C32" s="268" t="e">
        <f>SalesForecastYear1!#REF!+(SalesForecastYear1!#REF!*$C$7)</f>
        <v>#REF!</v>
      </c>
      <c r="D32" s="268" t="e">
        <f>SalesForecastYear1!#REF!+(SalesForecastYear1!#REF!*$C$7)</f>
        <v>#REF!</v>
      </c>
      <c r="E32" s="268" t="e">
        <f>SalesForecastYear1!#REF!+(SalesForecastYear1!#REF!*$C$7)</f>
        <v>#REF!</v>
      </c>
      <c r="F32" s="268" t="e">
        <f>SalesForecastYear1!#REF!+(SalesForecastYear1!#REF!*$C$7)</f>
        <v>#REF!</v>
      </c>
      <c r="G32" s="268" t="e">
        <f>SalesForecastYear1!#REF!+(SalesForecastYear1!#REF!*$C$7)</f>
        <v>#REF!</v>
      </c>
      <c r="H32" s="268" t="e">
        <f>SalesForecastYear1!#REF!+(SalesForecastYear1!#REF!*$C$7)</f>
        <v>#REF!</v>
      </c>
      <c r="I32" s="268" t="e">
        <f>SalesForecastYear1!#REF!+(SalesForecastYear1!#REF!*$C$7)</f>
        <v>#REF!</v>
      </c>
      <c r="J32" s="268" t="e">
        <f>SalesForecastYear1!#REF!+(SalesForecastYear1!#REF!*$C$7)</f>
        <v>#REF!</v>
      </c>
      <c r="K32" s="268" t="e">
        <f>SalesForecastYear1!#REF!+(SalesForecastYear1!#REF!*$C$7)</f>
        <v>#REF!</v>
      </c>
      <c r="L32" s="268" t="e">
        <f>SalesForecastYear1!#REF!+(SalesForecastYear1!#REF!*$C$7)</f>
        <v>#REF!</v>
      </c>
      <c r="M32" s="268" t="e">
        <f>SalesForecastYear1!#REF!+(SalesForecastYear1!#REF!*$C$7)</f>
        <v>#REF!</v>
      </c>
      <c r="N32" s="268" t="e">
        <f>SalesForecastYear1!#REF!+(SalesForecastYear1!#REF!*$C$7)</f>
        <v>#REF!</v>
      </c>
      <c r="O32" s="105" t="e">
        <f>SUM(C32:N32)</f>
        <v>#REF!</v>
      </c>
      <c r="P32" s="275">
        <f>IF(O31=0,0,O32/O31)</f>
        <v>0</v>
      </c>
      <c r="Q32" s="274">
        <f>IF($O$78=0,0,O32/$O$78)</f>
        <v>0</v>
      </c>
      <c r="R32" s="268" t="e">
        <f t="shared" si="46"/>
        <v>#REF!</v>
      </c>
      <c r="S32" s="268" t="e">
        <f t="shared" si="47"/>
        <v>#REF!</v>
      </c>
      <c r="T32" s="268" t="e">
        <f t="shared" si="48"/>
        <v>#REF!</v>
      </c>
      <c r="U32" s="268" t="e">
        <f t="shared" si="49"/>
        <v>#REF!</v>
      </c>
      <c r="V32" s="268" t="e">
        <f t="shared" si="50"/>
        <v>#REF!</v>
      </c>
      <c r="W32" s="268" t="e">
        <f t="shared" si="51"/>
        <v>#REF!</v>
      </c>
      <c r="X32" s="268" t="e">
        <f t="shared" si="52"/>
        <v>#REF!</v>
      </c>
      <c r="Y32" s="268" t="e">
        <f t="shared" si="53"/>
        <v>#REF!</v>
      </c>
      <c r="Z32" s="268" t="e">
        <f t="shared" si="54"/>
        <v>#REF!</v>
      </c>
      <c r="AA32" s="268" t="e">
        <f t="shared" si="55"/>
        <v>#REF!</v>
      </c>
      <c r="AB32" s="268" t="e">
        <f t="shared" si="56"/>
        <v>#REF!</v>
      </c>
      <c r="AC32" s="268" t="e">
        <f t="shared" si="57"/>
        <v>#REF!</v>
      </c>
      <c r="AD32" s="105" t="e">
        <f>SUM(R32:AC32)</f>
        <v>#REF!</v>
      </c>
      <c r="AE32" s="275">
        <f>IF(AD31=0,0,AD32/AD31)</f>
        <v>0</v>
      </c>
      <c r="AF32" s="274">
        <f>IF($O$78=0,0,AD32/$O$78)</f>
        <v>0</v>
      </c>
    </row>
    <row r="33" spans="1:32" x14ac:dyDescent="0.15">
      <c r="A33" s="107" t="s">
        <v>103</v>
      </c>
      <c r="B33" s="262" t="e">
        <f>SalesForecastYear1!#REF!</f>
        <v>#REF!</v>
      </c>
      <c r="C33" s="268" t="e">
        <f>C31-C32</f>
        <v>#REF!</v>
      </c>
      <c r="D33" s="268" t="e">
        <f t="shared" ref="D33:N33" si="58">D31-D32</f>
        <v>#REF!</v>
      </c>
      <c r="E33" s="268" t="e">
        <f t="shared" si="58"/>
        <v>#REF!</v>
      </c>
      <c r="F33" s="268" t="e">
        <f t="shared" si="58"/>
        <v>#REF!</v>
      </c>
      <c r="G33" s="268" t="e">
        <f t="shared" si="58"/>
        <v>#REF!</v>
      </c>
      <c r="H33" s="268" t="e">
        <f t="shared" si="58"/>
        <v>#REF!</v>
      </c>
      <c r="I33" s="268" t="e">
        <f t="shared" si="58"/>
        <v>#REF!</v>
      </c>
      <c r="J33" s="268" t="e">
        <f t="shared" si="58"/>
        <v>#REF!</v>
      </c>
      <c r="K33" s="268" t="e">
        <f t="shared" si="58"/>
        <v>#REF!</v>
      </c>
      <c r="L33" s="268" t="e">
        <f t="shared" si="58"/>
        <v>#REF!</v>
      </c>
      <c r="M33" s="268" t="e">
        <f t="shared" si="58"/>
        <v>#REF!</v>
      </c>
      <c r="N33" s="268" t="e">
        <f t="shared" si="58"/>
        <v>#REF!</v>
      </c>
      <c r="O33" s="105" t="e">
        <f>SUM(C33:N33)</f>
        <v>#REF!</v>
      </c>
      <c r="P33" s="275">
        <f>IF(O31=0,0,O33/O31)</f>
        <v>0</v>
      </c>
      <c r="Q33" s="274">
        <f>IF($O$79=0,0,O33/$O$79)</f>
        <v>0</v>
      </c>
      <c r="R33" s="267" t="e">
        <f>R31-R32</f>
        <v>#REF!</v>
      </c>
      <c r="S33" s="267" t="e">
        <f t="shared" ref="S33:AC33" si="59">S31-S32</f>
        <v>#REF!</v>
      </c>
      <c r="T33" s="267" t="e">
        <f t="shared" si="59"/>
        <v>#REF!</v>
      </c>
      <c r="U33" s="267" t="e">
        <f t="shared" si="59"/>
        <v>#REF!</v>
      </c>
      <c r="V33" s="267" t="e">
        <f t="shared" si="59"/>
        <v>#REF!</v>
      </c>
      <c r="W33" s="267" t="e">
        <f t="shared" si="59"/>
        <v>#REF!</v>
      </c>
      <c r="X33" s="267" t="e">
        <f t="shared" si="59"/>
        <v>#REF!</v>
      </c>
      <c r="Y33" s="267" t="e">
        <f t="shared" si="59"/>
        <v>#REF!</v>
      </c>
      <c r="Z33" s="267" t="e">
        <f t="shared" si="59"/>
        <v>#REF!</v>
      </c>
      <c r="AA33" s="267" t="e">
        <f t="shared" si="59"/>
        <v>#REF!</v>
      </c>
      <c r="AB33" s="267" t="e">
        <f t="shared" si="59"/>
        <v>#REF!</v>
      </c>
      <c r="AC33" s="267" t="e">
        <f t="shared" si="59"/>
        <v>#REF!</v>
      </c>
      <c r="AD33" s="105" t="e">
        <f>SUM(R33:AC33)</f>
        <v>#REF!</v>
      </c>
      <c r="AE33" s="275">
        <f>IF(AD31=0,0,AD33/AD31)</f>
        <v>0</v>
      </c>
      <c r="AF33" s="274">
        <f>IF($O$79=0,0,AD33/$O$79)</f>
        <v>0</v>
      </c>
    </row>
    <row r="34" spans="1:32" x14ac:dyDescent="0.15">
      <c r="A34" s="118"/>
      <c r="B34" s="259"/>
      <c r="C34" s="110"/>
      <c r="D34" s="110"/>
      <c r="E34" s="110"/>
      <c r="F34" s="119"/>
      <c r="G34" s="119"/>
      <c r="H34" s="119"/>
      <c r="I34" s="119"/>
      <c r="J34" s="119"/>
      <c r="K34" s="119"/>
      <c r="L34" s="119"/>
      <c r="M34" s="119"/>
      <c r="N34" s="119"/>
      <c r="O34" s="102"/>
      <c r="P34" s="7"/>
      <c r="Q34" s="103"/>
      <c r="R34" s="110"/>
      <c r="S34" s="110"/>
      <c r="T34" s="110"/>
      <c r="U34" s="119"/>
      <c r="V34" s="119"/>
      <c r="W34" s="119"/>
      <c r="X34" s="119"/>
      <c r="Y34" s="119"/>
      <c r="Z34" s="119"/>
      <c r="AA34" s="119"/>
      <c r="AB34" s="119"/>
      <c r="AC34" s="119"/>
      <c r="AD34" s="102"/>
      <c r="AE34" s="7"/>
      <c r="AF34" s="103"/>
    </row>
    <row r="35" spans="1:32" x14ac:dyDescent="0.15">
      <c r="A35" s="112" t="str">
        <f>SalesForecastYear1!B54</f>
        <v>Classroom or program 5</v>
      </c>
      <c r="B35" s="112"/>
      <c r="C35" s="117"/>
      <c r="D35" s="117"/>
      <c r="E35" s="117"/>
      <c r="F35" s="117"/>
      <c r="G35" s="117"/>
      <c r="H35" s="117"/>
      <c r="I35" s="117"/>
      <c r="J35" s="117"/>
      <c r="K35" s="117"/>
      <c r="L35" s="117"/>
      <c r="M35" s="117"/>
      <c r="N35" s="117"/>
      <c r="O35" s="114"/>
      <c r="P35" s="7"/>
      <c r="Q35" s="103"/>
      <c r="R35" s="117"/>
      <c r="S35" s="117"/>
      <c r="T35" s="117"/>
      <c r="U35" s="117"/>
      <c r="V35" s="117"/>
      <c r="W35" s="117"/>
      <c r="X35" s="117"/>
      <c r="Y35" s="117"/>
      <c r="Z35" s="117"/>
      <c r="AA35" s="117"/>
      <c r="AB35" s="117"/>
      <c r="AC35" s="117"/>
      <c r="AD35" s="114"/>
      <c r="AE35" s="7"/>
      <c r="AF35" s="103"/>
    </row>
    <row r="36" spans="1:32" x14ac:dyDescent="0.15">
      <c r="A36" s="101" t="str">
        <f>Unit5&amp; " Sold"</f>
        <v>0 Sold</v>
      </c>
      <c r="B36" s="101">
        <f>Unit5_Annual</f>
        <v>10</v>
      </c>
      <c r="C36" s="265">
        <f>SalesForecastYear1!C55+ (SalesForecastYear1!C55*$C$7)</f>
        <v>10</v>
      </c>
      <c r="D36" s="265">
        <f>SalesForecastYear1!D55+ (SalesForecastYear1!D55*$C$7)</f>
        <v>10</v>
      </c>
      <c r="E36" s="265">
        <f>SalesForecastYear1!E55+ (SalesForecastYear1!E55*$C$7)</f>
        <v>10</v>
      </c>
      <c r="F36" s="265">
        <f>SalesForecastYear1!F55+ (SalesForecastYear1!F55*$C$7)</f>
        <v>10</v>
      </c>
      <c r="G36" s="265">
        <f>SalesForecastYear1!G55+ (SalesForecastYear1!G55*$C$7)</f>
        <v>10</v>
      </c>
      <c r="H36" s="265">
        <f>SalesForecastYear1!H55+ (SalesForecastYear1!H55*$C$7)</f>
        <v>10</v>
      </c>
      <c r="I36" s="265">
        <f>SalesForecastYear1!I55+ (SalesForecastYear1!I55*$C$7)</f>
        <v>10</v>
      </c>
      <c r="J36" s="265">
        <f>SalesForecastYear1!J55+ (SalesForecastYear1!J55*$C$7)</f>
        <v>10</v>
      </c>
      <c r="K36" s="265">
        <f>SalesForecastYear1!K55+ (SalesForecastYear1!K55*$C$7)</f>
        <v>10</v>
      </c>
      <c r="L36" s="265">
        <f>SalesForecastYear1!L55+ (SalesForecastYear1!L55*$C$7)</f>
        <v>10</v>
      </c>
      <c r="M36" s="265">
        <f>SalesForecastYear1!M55+ (SalesForecastYear1!M55*$C$7)</f>
        <v>10</v>
      </c>
      <c r="N36" s="265">
        <f>SalesForecastYear1!N55+ (SalesForecastYear1!N55*$C$7)</f>
        <v>10</v>
      </c>
      <c r="O36" s="280">
        <f>SUM(C36:N36)</f>
        <v>120</v>
      </c>
      <c r="P36" s="7"/>
      <c r="Q36" s="274">
        <f>IF($O$76=0,0,O36/$O$76)</f>
        <v>0</v>
      </c>
      <c r="R36" s="265">
        <f>C36+(C36*$C$8)</f>
        <v>10</v>
      </c>
      <c r="S36" s="265">
        <f t="shared" ref="S36:AC36" si="60">D36+(D36*$C$8)</f>
        <v>10</v>
      </c>
      <c r="T36" s="265">
        <f t="shared" si="60"/>
        <v>10</v>
      </c>
      <c r="U36" s="265">
        <f t="shared" si="60"/>
        <v>10</v>
      </c>
      <c r="V36" s="265">
        <f t="shared" si="60"/>
        <v>10</v>
      </c>
      <c r="W36" s="265">
        <f t="shared" si="60"/>
        <v>10</v>
      </c>
      <c r="X36" s="265">
        <f t="shared" si="60"/>
        <v>10</v>
      </c>
      <c r="Y36" s="265">
        <f t="shared" si="60"/>
        <v>10</v>
      </c>
      <c r="Z36" s="265">
        <f t="shared" si="60"/>
        <v>10</v>
      </c>
      <c r="AA36" s="265">
        <f t="shared" si="60"/>
        <v>10</v>
      </c>
      <c r="AB36" s="265">
        <f t="shared" si="60"/>
        <v>10</v>
      </c>
      <c r="AC36" s="265">
        <f t="shared" si="60"/>
        <v>10</v>
      </c>
      <c r="AD36" s="280">
        <f>SUM(R36:AC36)</f>
        <v>120</v>
      </c>
      <c r="AE36" s="7"/>
      <c r="AF36" s="274">
        <f>IF($O$76=0,0,AD36/$O$76)</f>
        <v>0</v>
      </c>
    </row>
    <row r="37" spans="1:32" x14ac:dyDescent="0.15">
      <c r="A37" s="115" t="s">
        <v>105</v>
      </c>
      <c r="B37" s="263">
        <f>Category5_Annual_Sales</f>
        <v>0</v>
      </c>
      <c r="C37" s="267">
        <f>SalesForecastYear1!C56+ (SalesForecastYear1!C56*$C$7)</f>
        <v>0</v>
      </c>
      <c r="D37" s="267">
        <f>SalesForecastYear1!D56+ (SalesForecastYear1!D56*$C$7)</f>
        <v>0</v>
      </c>
      <c r="E37" s="267">
        <f>SalesForecastYear1!E56+ (SalesForecastYear1!E56*$C$7)</f>
        <v>0</v>
      </c>
      <c r="F37" s="267">
        <f>SalesForecastYear1!F56+ (SalesForecastYear1!F56*$C$7)</f>
        <v>0</v>
      </c>
      <c r="G37" s="267">
        <f>SalesForecastYear1!G56+ (SalesForecastYear1!G56*$C$7)</f>
        <v>0</v>
      </c>
      <c r="H37" s="267">
        <f>SalesForecastYear1!H56+ (SalesForecastYear1!H56*$C$7)</f>
        <v>0</v>
      </c>
      <c r="I37" s="267">
        <f>SalesForecastYear1!I56+ (SalesForecastYear1!I56*$C$7)</f>
        <v>0</v>
      </c>
      <c r="J37" s="267">
        <f>SalesForecastYear1!J56+ (SalesForecastYear1!J56*$C$7)</f>
        <v>0</v>
      </c>
      <c r="K37" s="267">
        <f>SalesForecastYear1!K56+ (SalesForecastYear1!K56*$C$7)</f>
        <v>0</v>
      </c>
      <c r="L37" s="267">
        <f>SalesForecastYear1!L56+ (SalesForecastYear1!L56*$C$7)</f>
        <v>0</v>
      </c>
      <c r="M37" s="267">
        <f>SalesForecastYear1!M56+ (SalesForecastYear1!M56*$C$7)</f>
        <v>0</v>
      </c>
      <c r="N37" s="267">
        <f>SalesForecastYear1!N56+ (SalesForecastYear1!N56*$C$7)</f>
        <v>0</v>
      </c>
      <c r="O37" s="105">
        <f>SUM(C37:N37)</f>
        <v>0</v>
      </c>
      <c r="P37" s="275">
        <f>(P38+P39)</f>
        <v>0</v>
      </c>
      <c r="Q37" s="274">
        <f>IF($O$77=0,0,O37/$O$77)</f>
        <v>0</v>
      </c>
      <c r="R37" s="267">
        <f t="shared" ref="R37:R38" si="61">C37+(C37*$C$8)</f>
        <v>0</v>
      </c>
      <c r="S37" s="267">
        <f t="shared" ref="S37:S38" si="62">D37+(D37*$C$8)</f>
        <v>0</v>
      </c>
      <c r="T37" s="267">
        <f t="shared" ref="T37:T38" si="63">E37+(E37*$C$8)</f>
        <v>0</v>
      </c>
      <c r="U37" s="267">
        <f t="shared" ref="U37:U38" si="64">F37+(F37*$C$8)</f>
        <v>0</v>
      </c>
      <c r="V37" s="267">
        <f t="shared" ref="V37:V38" si="65">G37+(G37*$C$8)</f>
        <v>0</v>
      </c>
      <c r="W37" s="267">
        <f t="shared" ref="W37:W38" si="66">H37+(H37*$C$8)</f>
        <v>0</v>
      </c>
      <c r="X37" s="267">
        <f t="shared" ref="X37:X38" si="67">I37+(I37*$C$8)</f>
        <v>0</v>
      </c>
      <c r="Y37" s="267">
        <f t="shared" ref="Y37:Y38" si="68">J37+(J37*$C$8)</f>
        <v>0</v>
      </c>
      <c r="Z37" s="267">
        <f t="shared" ref="Z37:Z38" si="69">K37+(K37*$C$8)</f>
        <v>0</v>
      </c>
      <c r="AA37" s="267">
        <f t="shared" ref="AA37:AA38" si="70">L37+(L37*$C$8)</f>
        <v>0</v>
      </c>
      <c r="AB37" s="267">
        <f t="shared" ref="AB37:AB38" si="71">M37+(M37*$C$8)</f>
        <v>0</v>
      </c>
      <c r="AC37" s="267">
        <f t="shared" ref="AC37:AC38" si="72">N37+(N37*$C$8)</f>
        <v>0</v>
      </c>
      <c r="AD37" s="105">
        <f>SUM(R37:AC37)</f>
        <v>0</v>
      </c>
      <c r="AE37" s="275">
        <f>(AE38+AE39)</f>
        <v>0</v>
      </c>
      <c r="AF37" s="274">
        <f>IF($O$77=0,0,AD37/$O$77)</f>
        <v>0</v>
      </c>
    </row>
    <row r="38" spans="1:32" x14ac:dyDescent="0.15">
      <c r="A38" s="115" t="s">
        <v>204</v>
      </c>
      <c r="B38" s="263" t="e">
        <f>SalesForecastYear1!#REF!</f>
        <v>#REF!</v>
      </c>
      <c r="C38" s="267" t="e">
        <f>SalesForecastYear1!#REF!+ (SalesForecastYear1!#REF!*$C$7)</f>
        <v>#REF!</v>
      </c>
      <c r="D38" s="267" t="e">
        <f>SalesForecastYear1!#REF!+ (SalesForecastYear1!#REF!*$C$7)</f>
        <v>#REF!</v>
      </c>
      <c r="E38" s="267" t="e">
        <f>SalesForecastYear1!#REF!+ (SalesForecastYear1!#REF!*$C$7)</f>
        <v>#REF!</v>
      </c>
      <c r="F38" s="267" t="e">
        <f>SalesForecastYear1!#REF!+ (SalesForecastYear1!#REF!*$C$7)</f>
        <v>#REF!</v>
      </c>
      <c r="G38" s="267" t="e">
        <f>SalesForecastYear1!#REF!+ (SalesForecastYear1!#REF!*$C$7)</f>
        <v>#REF!</v>
      </c>
      <c r="H38" s="267" t="e">
        <f>SalesForecastYear1!#REF!+ (SalesForecastYear1!#REF!*$C$7)</f>
        <v>#REF!</v>
      </c>
      <c r="I38" s="267" t="e">
        <f>SalesForecastYear1!#REF!+ (SalesForecastYear1!#REF!*$C$7)</f>
        <v>#REF!</v>
      </c>
      <c r="J38" s="267" t="e">
        <f>SalesForecastYear1!#REF!+ (SalesForecastYear1!#REF!*$C$7)</f>
        <v>#REF!</v>
      </c>
      <c r="K38" s="267" t="e">
        <f>SalesForecastYear1!#REF!+ (SalesForecastYear1!#REF!*$C$7)</f>
        <v>#REF!</v>
      </c>
      <c r="L38" s="267" t="e">
        <f>SalesForecastYear1!#REF!+ (SalesForecastYear1!#REF!*$C$7)</f>
        <v>#REF!</v>
      </c>
      <c r="M38" s="267" t="e">
        <f>SalesForecastYear1!#REF!+ (SalesForecastYear1!#REF!*$C$7)</f>
        <v>#REF!</v>
      </c>
      <c r="N38" s="267" t="e">
        <f>SalesForecastYear1!#REF!+ (SalesForecastYear1!#REF!*$C$7)</f>
        <v>#REF!</v>
      </c>
      <c r="O38" s="105" t="e">
        <f>SUM(C38:N38)</f>
        <v>#REF!</v>
      </c>
      <c r="P38" s="275">
        <f>IF(O37=0,0,O38/O37)</f>
        <v>0</v>
      </c>
      <c r="Q38" s="274">
        <f>IF($O$78=0,0,O38/$O$78)</f>
        <v>0</v>
      </c>
      <c r="R38" s="267" t="e">
        <f t="shared" si="61"/>
        <v>#REF!</v>
      </c>
      <c r="S38" s="267" t="e">
        <f t="shared" si="62"/>
        <v>#REF!</v>
      </c>
      <c r="T38" s="267" t="e">
        <f t="shared" si="63"/>
        <v>#REF!</v>
      </c>
      <c r="U38" s="267" t="e">
        <f t="shared" si="64"/>
        <v>#REF!</v>
      </c>
      <c r="V38" s="267" t="e">
        <f t="shared" si="65"/>
        <v>#REF!</v>
      </c>
      <c r="W38" s="267" t="e">
        <f t="shared" si="66"/>
        <v>#REF!</v>
      </c>
      <c r="X38" s="267" t="e">
        <f t="shared" si="67"/>
        <v>#REF!</v>
      </c>
      <c r="Y38" s="267" t="e">
        <f t="shared" si="68"/>
        <v>#REF!</v>
      </c>
      <c r="Z38" s="267" t="e">
        <f t="shared" si="69"/>
        <v>#REF!</v>
      </c>
      <c r="AA38" s="267" t="e">
        <f t="shared" si="70"/>
        <v>#REF!</v>
      </c>
      <c r="AB38" s="267" t="e">
        <f t="shared" si="71"/>
        <v>#REF!</v>
      </c>
      <c r="AC38" s="267" t="e">
        <f t="shared" si="72"/>
        <v>#REF!</v>
      </c>
      <c r="AD38" s="105" t="e">
        <f>SUM(R38:AC38)</f>
        <v>#REF!</v>
      </c>
      <c r="AE38" s="275">
        <f>IF(AD37=0,0,AD38/AD37)</f>
        <v>0</v>
      </c>
      <c r="AF38" s="274">
        <f>IF($O$78=0,0,AD38/$O$78)</f>
        <v>0</v>
      </c>
    </row>
    <row r="39" spans="1:32" x14ac:dyDescent="0.15">
      <c r="A39" s="107" t="s">
        <v>103</v>
      </c>
      <c r="B39" s="262" t="e">
        <f>SalesForecastYear1!#REF!</f>
        <v>#REF!</v>
      </c>
      <c r="C39" s="282" t="e">
        <f>C37-C38</f>
        <v>#REF!</v>
      </c>
      <c r="D39" s="282" t="e">
        <f t="shared" ref="D39:N39" si="73">D37-D38</f>
        <v>#REF!</v>
      </c>
      <c r="E39" s="282" t="e">
        <f t="shared" si="73"/>
        <v>#REF!</v>
      </c>
      <c r="F39" s="282" t="e">
        <f t="shared" si="73"/>
        <v>#REF!</v>
      </c>
      <c r="G39" s="282" t="e">
        <f t="shared" si="73"/>
        <v>#REF!</v>
      </c>
      <c r="H39" s="282" t="e">
        <f t="shared" si="73"/>
        <v>#REF!</v>
      </c>
      <c r="I39" s="282" t="e">
        <f t="shared" si="73"/>
        <v>#REF!</v>
      </c>
      <c r="J39" s="282" t="e">
        <f t="shared" si="73"/>
        <v>#REF!</v>
      </c>
      <c r="K39" s="282" t="e">
        <f t="shared" si="73"/>
        <v>#REF!</v>
      </c>
      <c r="L39" s="282" t="e">
        <f t="shared" si="73"/>
        <v>#REF!</v>
      </c>
      <c r="M39" s="282" t="e">
        <f t="shared" si="73"/>
        <v>#REF!</v>
      </c>
      <c r="N39" s="282" t="e">
        <f t="shared" si="73"/>
        <v>#REF!</v>
      </c>
      <c r="O39" s="105" t="e">
        <f>SUM(C39:N39)</f>
        <v>#REF!</v>
      </c>
      <c r="P39" s="275">
        <f>IF(O37=0,0,O39/O37)</f>
        <v>0</v>
      </c>
      <c r="Q39" s="274">
        <f>IF($O$79=0,0,O39/$O$79)</f>
        <v>0</v>
      </c>
      <c r="R39" s="267" t="e">
        <f>R37-R38</f>
        <v>#REF!</v>
      </c>
      <c r="S39" s="267" t="e">
        <f t="shared" ref="S39:AC39" si="74">S37-S38</f>
        <v>#REF!</v>
      </c>
      <c r="T39" s="267" t="e">
        <f t="shared" si="74"/>
        <v>#REF!</v>
      </c>
      <c r="U39" s="267" t="e">
        <f t="shared" si="74"/>
        <v>#REF!</v>
      </c>
      <c r="V39" s="267" t="e">
        <f t="shared" si="74"/>
        <v>#REF!</v>
      </c>
      <c r="W39" s="267" t="e">
        <f t="shared" si="74"/>
        <v>#REF!</v>
      </c>
      <c r="X39" s="267" t="e">
        <f t="shared" si="74"/>
        <v>#REF!</v>
      </c>
      <c r="Y39" s="267" t="e">
        <f t="shared" si="74"/>
        <v>#REF!</v>
      </c>
      <c r="Z39" s="267" t="e">
        <f t="shared" si="74"/>
        <v>#REF!</v>
      </c>
      <c r="AA39" s="267" t="e">
        <f t="shared" si="74"/>
        <v>#REF!</v>
      </c>
      <c r="AB39" s="267" t="e">
        <f t="shared" si="74"/>
        <v>#REF!</v>
      </c>
      <c r="AC39" s="267" t="e">
        <f t="shared" si="74"/>
        <v>#REF!</v>
      </c>
      <c r="AD39" s="105" t="e">
        <f>SUM(R39:AC39)</f>
        <v>#REF!</v>
      </c>
      <c r="AE39" s="275">
        <f>IF(AD37=0,0,AD39/AD37)</f>
        <v>0</v>
      </c>
      <c r="AF39" s="274">
        <f>IF($O$79=0,0,AD39/$O$79)</f>
        <v>0</v>
      </c>
    </row>
    <row r="40" spans="1:32" x14ac:dyDescent="0.15">
      <c r="A40" s="118"/>
      <c r="B40" s="259"/>
      <c r="C40" s="120"/>
      <c r="D40" s="120"/>
      <c r="E40" s="120"/>
      <c r="F40" s="120"/>
      <c r="G40" s="120"/>
      <c r="H40" s="120"/>
      <c r="I40" s="120"/>
      <c r="J40" s="120"/>
      <c r="K40" s="120"/>
      <c r="L40" s="120"/>
      <c r="M40" s="120"/>
      <c r="N40" s="120"/>
      <c r="O40" s="102"/>
      <c r="P40" s="7"/>
      <c r="Q40" s="103"/>
      <c r="R40" s="120"/>
      <c r="S40" s="120"/>
      <c r="T40" s="120"/>
      <c r="U40" s="120"/>
      <c r="V40" s="120"/>
      <c r="W40" s="120"/>
      <c r="X40" s="120"/>
      <c r="Y40" s="120"/>
      <c r="Z40" s="120"/>
      <c r="AA40" s="120"/>
      <c r="AB40" s="120"/>
      <c r="AC40" s="120"/>
      <c r="AD40" s="102"/>
      <c r="AE40" s="7"/>
      <c r="AF40" s="103"/>
    </row>
    <row r="41" spans="1:32" x14ac:dyDescent="0.15">
      <c r="A41" s="112" t="e">
        <f>SalesForecastYear1!#REF!</f>
        <v>#REF!</v>
      </c>
      <c r="B41" s="112"/>
      <c r="C41" s="121"/>
      <c r="D41" s="121"/>
      <c r="E41" s="121"/>
      <c r="F41" s="121"/>
      <c r="G41" s="121"/>
      <c r="H41" s="121"/>
      <c r="I41" s="121"/>
      <c r="J41" s="121"/>
      <c r="K41" s="121"/>
      <c r="L41" s="121"/>
      <c r="M41" s="121"/>
      <c r="N41" s="121"/>
      <c r="O41" s="114"/>
      <c r="P41" s="7"/>
      <c r="Q41" s="103"/>
      <c r="R41" s="121"/>
      <c r="S41" s="121"/>
      <c r="T41" s="121"/>
      <c r="U41" s="121"/>
      <c r="V41" s="121"/>
      <c r="W41" s="121"/>
      <c r="X41" s="121"/>
      <c r="Y41" s="121"/>
      <c r="Z41" s="121"/>
      <c r="AA41" s="121"/>
      <c r="AB41" s="121"/>
      <c r="AC41" s="121"/>
      <c r="AD41" s="114"/>
      <c r="AE41" s="7"/>
      <c r="AF41" s="103"/>
    </row>
    <row r="42" spans="1:32" x14ac:dyDescent="0.15">
      <c r="A42" s="101" t="str">
        <f>Unit6&amp; " Sold"</f>
        <v>0 Sold</v>
      </c>
      <c r="B42" s="101" t="e">
        <f>Unit6_Annual</f>
        <v>#REF!</v>
      </c>
      <c r="C42" s="266" t="e">
        <f>SalesForecastYear1!#REF!+(SalesForecastYear1!#REF!*$C$7)</f>
        <v>#REF!</v>
      </c>
      <c r="D42" s="266" t="e">
        <f>SalesForecastYear1!#REF!+(SalesForecastYear1!#REF!*$C$7)</f>
        <v>#REF!</v>
      </c>
      <c r="E42" s="266" t="e">
        <f>SalesForecastYear1!#REF!+(SalesForecastYear1!#REF!*$C$7)</f>
        <v>#REF!</v>
      </c>
      <c r="F42" s="266" t="e">
        <f>SalesForecastYear1!#REF!+(SalesForecastYear1!#REF!*$C$7)</f>
        <v>#REF!</v>
      </c>
      <c r="G42" s="266" t="e">
        <f>SalesForecastYear1!#REF!+(SalesForecastYear1!#REF!*$C$7)</f>
        <v>#REF!</v>
      </c>
      <c r="H42" s="266" t="e">
        <f>SalesForecastYear1!#REF!+(SalesForecastYear1!#REF!*$C$7)</f>
        <v>#REF!</v>
      </c>
      <c r="I42" s="266" t="e">
        <f>SalesForecastYear1!#REF!+(SalesForecastYear1!#REF!*$C$7)</f>
        <v>#REF!</v>
      </c>
      <c r="J42" s="266" t="e">
        <f>SalesForecastYear1!#REF!+(SalesForecastYear1!#REF!*$C$7)</f>
        <v>#REF!</v>
      </c>
      <c r="K42" s="266" t="e">
        <f>SalesForecastYear1!#REF!+(SalesForecastYear1!#REF!*$C$7)</f>
        <v>#REF!</v>
      </c>
      <c r="L42" s="266" t="e">
        <f>SalesForecastYear1!#REF!+(SalesForecastYear1!#REF!*$C$7)</f>
        <v>#REF!</v>
      </c>
      <c r="M42" s="266" t="e">
        <f>SalesForecastYear1!#REF!+(SalesForecastYear1!#REF!*$C$7)</f>
        <v>#REF!</v>
      </c>
      <c r="N42" s="266" t="e">
        <f>SalesForecastYear1!#REF!+(SalesForecastYear1!#REF!*$C$7)</f>
        <v>#REF!</v>
      </c>
      <c r="O42" s="280" t="e">
        <f t="shared" ref="O42:O72" si="75">SUM(C42:N42)</f>
        <v>#REF!</v>
      </c>
      <c r="P42" s="7"/>
      <c r="Q42" s="274">
        <f>IF($O$76=0,0,O42/$O$76)</f>
        <v>0</v>
      </c>
      <c r="R42" s="266" t="e">
        <f>C42+(C42*$C$8)</f>
        <v>#REF!</v>
      </c>
      <c r="S42" s="266" t="e">
        <f t="shared" ref="S42:AC42" si="76">D42+(D42*$C$8)</f>
        <v>#REF!</v>
      </c>
      <c r="T42" s="266" t="e">
        <f t="shared" si="76"/>
        <v>#REF!</v>
      </c>
      <c r="U42" s="266" t="e">
        <f t="shared" si="76"/>
        <v>#REF!</v>
      </c>
      <c r="V42" s="266" t="e">
        <f t="shared" si="76"/>
        <v>#REF!</v>
      </c>
      <c r="W42" s="266" t="e">
        <f t="shared" si="76"/>
        <v>#REF!</v>
      </c>
      <c r="X42" s="266" t="e">
        <f t="shared" si="76"/>
        <v>#REF!</v>
      </c>
      <c r="Y42" s="266" t="e">
        <f t="shared" si="76"/>
        <v>#REF!</v>
      </c>
      <c r="Z42" s="266" t="e">
        <f t="shared" si="76"/>
        <v>#REF!</v>
      </c>
      <c r="AA42" s="266" t="e">
        <f t="shared" si="76"/>
        <v>#REF!</v>
      </c>
      <c r="AB42" s="266" t="e">
        <f t="shared" si="76"/>
        <v>#REF!</v>
      </c>
      <c r="AC42" s="266" t="e">
        <f t="shared" si="76"/>
        <v>#REF!</v>
      </c>
      <c r="AD42" s="280" t="e">
        <f t="shared" ref="AD42:AD72" si="77">SUM(R42:AC42)</f>
        <v>#REF!</v>
      </c>
      <c r="AE42" s="7"/>
      <c r="AF42" s="274">
        <f>IF($O$76=0,0,AD42/$O$76)</f>
        <v>0</v>
      </c>
    </row>
    <row r="43" spans="1:32" x14ac:dyDescent="0.15">
      <c r="A43" s="115" t="s">
        <v>105</v>
      </c>
      <c r="B43" s="263" t="e">
        <f>Category6_Annual_Sales</f>
        <v>#REF!</v>
      </c>
      <c r="C43" s="268" t="e">
        <f>SalesForecastYear1!#REF!+(SalesForecastYear1!#REF!*$C$7)</f>
        <v>#REF!</v>
      </c>
      <c r="D43" s="268" t="e">
        <f>SalesForecastYear1!#REF!+(SalesForecastYear1!#REF!*$C$7)</f>
        <v>#REF!</v>
      </c>
      <c r="E43" s="268" t="e">
        <f>SalesForecastYear1!#REF!+(SalesForecastYear1!#REF!*$C$7)</f>
        <v>#REF!</v>
      </c>
      <c r="F43" s="268" t="e">
        <f>SalesForecastYear1!#REF!+(SalesForecastYear1!#REF!*$C$7)</f>
        <v>#REF!</v>
      </c>
      <c r="G43" s="268" t="e">
        <f>SalesForecastYear1!#REF!+(SalesForecastYear1!#REF!*$C$7)</f>
        <v>#REF!</v>
      </c>
      <c r="H43" s="268" t="e">
        <f>SalesForecastYear1!#REF!+(SalesForecastYear1!#REF!*$C$7)</f>
        <v>#REF!</v>
      </c>
      <c r="I43" s="268" t="e">
        <f>SalesForecastYear1!#REF!+(SalesForecastYear1!#REF!*$C$7)</f>
        <v>#REF!</v>
      </c>
      <c r="J43" s="268" t="e">
        <f>SalesForecastYear1!#REF!+(SalesForecastYear1!#REF!*$C$7)</f>
        <v>#REF!</v>
      </c>
      <c r="K43" s="268" t="e">
        <f>SalesForecastYear1!#REF!+(SalesForecastYear1!#REF!*$C$7)</f>
        <v>#REF!</v>
      </c>
      <c r="L43" s="268" t="e">
        <f>SalesForecastYear1!#REF!+(SalesForecastYear1!#REF!*$C$7)</f>
        <v>#REF!</v>
      </c>
      <c r="M43" s="268" t="e">
        <f>SalesForecastYear1!#REF!+(SalesForecastYear1!#REF!*$C$7)</f>
        <v>#REF!</v>
      </c>
      <c r="N43" s="268" t="e">
        <f>SalesForecastYear1!#REF!+(SalesForecastYear1!#REF!*$C$7)</f>
        <v>#REF!</v>
      </c>
      <c r="O43" s="105" t="e">
        <f t="shared" si="75"/>
        <v>#REF!</v>
      </c>
      <c r="P43" s="275" t="e">
        <f>(P44+P45)</f>
        <v>#REF!</v>
      </c>
      <c r="Q43" s="274">
        <f>IF($O$77=0,0,O43/$O$77)</f>
        <v>0</v>
      </c>
      <c r="R43" s="268" t="e">
        <f t="shared" ref="R43:R44" si="78">C43+(C43*$C$8)</f>
        <v>#REF!</v>
      </c>
      <c r="S43" s="268" t="e">
        <f t="shared" ref="S43:S44" si="79">D43+(D43*$C$8)</f>
        <v>#REF!</v>
      </c>
      <c r="T43" s="268" t="e">
        <f t="shared" ref="T43:T44" si="80">E43+(E43*$C$8)</f>
        <v>#REF!</v>
      </c>
      <c r="U43" s="268" t="e">
        <f t="shared" ref="U43:U44" si="81">F43+(F43*$C$8)</f>
        <v>#REF!</v>
      </c>
      <c r="V43" s="268" t="e">
        <f t="shared" ref="V43:V44" si="82">G43+(G43*$C$8)</f>
        <v>#REF!</v>
      </c>
      <c r="W43" s="268" t="e">
        <f t="shared" ref="W43:W44" si="83">H43+(H43*$C$8)</f>
        <v>#REF!</v>
      </c>
      <c r="X43" s="268" t="e">
        <f t="shared" ref="X43:X44" si="84">I43+(I43*$C$8)</f>
        <v>#REF!</v>
      </c>
      <c r="Y43" s="268" t="e">
        <f t="shared" ref="Y43:Y44" si="85">J43+(J43*$C$8)</f>
        <v>#REF!</v>
      </c>
      <c r="Z43" s="268" t="e">
        <f t="shared" ref="Z43:Z44" si="86">K43+(K43*$C$8)</f>
        <v>#REF!</v>
      </c>
      <c r="AA43" s="268" t="e">
        <f t="shared" ref="AA43:AA44" si="87">L43+(L43*$C$8)</f>
        <v>#REF!</v>
      </c>
      <c r="AB43" s="268" t="e">
        <f t="shared" ref="AB43:AB44" si="88">M43+(M43*$C$8)</f>
        <v>#REF!</v>
      </c>
      <c r="AC43" s="268" t="e">
        <f t="shared" ref="AC43:AC44" si="89">N43+(N43*$C$8)</f>
        <v>#REF!</v>
      </c>
      <c r="AD43" s="105" t="e">
        <f t="shared" si="77"/>
        <v>#REF!</v>
      </c>
      <c r="AE43" s="275" t="e">
        <f>(AE44+AE45)</f>
        <v>#REF!</v>
      </c>
      <c r="AF43" s="274">
        <f>IF($O$77=0,0,AD43/$O$77)</f>
        <v>0</v>
      </c>
    </row>
    <row r="44" spans="1:32" x14ac:dyDescent="0.15">
      <c r="A44" s="122" t="s">
        <v>204</v>
      </c>
      <c r="B44" s="261" t="e">
        <f>SalesForecastYear1!#REF!</f>
        <v>#REF!</v>
      </c>
      <c r="C44" s="268" t="e">
        <f>SalesForecastYear1!#REF!+(SalesForecastYear1!#REF!*$C$7)</f>
        <v>#REF!</v>
      </c>
      <c r="D44" s="268" t="e">
        <f>SalesForecastYear1!#REF!+(SalesForecastYear1!#REF!*$C$7)</f>
        <v>#REF!</v>
      </c>
      <c r="E44" s="268" t="e">
        <f>SalesForecastYear1!#REF!+(SalesForecastYear1!#REF!*$C$7)</f>
        <v>#REF!</v>
      </c>
      <c r="F44" s="268" t="e">
        <f>SalesForecastYear1!#REF!+(SalesForecastYear1!#REF!*$C$7)</f>
        <v>#REF!</v>
      </c>
      <c r="G44" s="268" t="e">
        <f>SalesForecastYear1!#REF!+(SalesForecastYear1!#REF!*$C$7)</f>
        <v>#REF!</v>
      </c>
      <c r="H44" s="268" t="e">
        <f>SalesForecastYear1!#REF!+(SalesForecastYear1!#REF!*$C$7)</f>
        <v>#REF!</v>
      </c>
      <c r="I44" s="268" t="e">
        <f>SalesForecastYear1!#REF!+(SalesForecastYear1!#REF!*$C$7)</f>
        <v>#REF!</v>
      </c>
      <c r="J44" s="268" t="e">
        <f>SalesForecastYear1!#REF!+(SalesForecastYear1!#REF!*$C$7)</f>
        <v>#REF!</v>
      </c>
      <c r="K44" s="268" t="e">
        <f>SalesForecastYear1!#REF!+(SalesForecastYear1!#REF!*$C$7)</f>
        <v>#REF!</v>
      </c>
      <c r="L44" s="268" t="e">
        <f>SalesForecastYear1!#REF!+(SalesForecastYear1!#REF!*$C$7)</f>
        <v>#REF!</v>
      </c>
      <c r="M44" s="268" t="e">
        <f>SalesForecastYear1!#REF!+(SalesForecastYear1!#REF!*$C$7)</f>
        <v>#REF!</v>
      </c>
      <c r="N44" s="268" t="e">
        <f>SalesForecastYear1!#REF!+(SalesForecastYear1!#REF!*$C$7)</f>
        <v>#REF!</v>
      </c>
      <c r="O44" s="105" t="e">
        <f t="shared" si="75"/>
        <v>#REF!</v>
      </c>
      <c r="P44" s="275" t="e">
        <f>IF(O43=0,0,O44/O43)</f>
        <v>#REF!</v>
      </c>
      <c r="Q44" s="274">
        <f>IF($O$78=0,0,O44/$O$78)</f>
        <v>0</v>
      </c>
      <c r="R44" s="268" t="e">
        <f t="shared" si="78"/>
        <v>#REF!</v>
      </c>
      <c r="S44" s="268" t="e">
        <f t="shared" si="79"/>
        <v>#REF!</v>
      </c>
      <c r="T44" s="268" t="e">
        <f t="shared" si="80"/>
        <v>#REF!</v>
      </c>
      <c r="U44" s="268" t="e">
        <f t="shared" si="81"/>
        <v>#REF!</v>
      </c>
      <c r="V44" s="268" t="e">
        <f t="shared" si="82"/>
        <v>#REF!</v>
      </c>
      <c r="W44" s="268" t="e">
        <f t="shared" si="83"/>
        <v>#REF!</v>
      </c>
      <c r="X44" s="268" t="e">
        <f t="shared" si="84"/>
        <v>#REF!</v>
      </c>
      <c r="Y44" s="268" t="e">
        <f t="shared" si="85"/>
        <v>#REF!</v>
      </c>
      <c r="Z44" s="268" t="e">
        <f t="shared" si="86"/>
        <v>#REF!</v>
      </c>
      <c r="AA44" s="268" t="e">
        <f t="shared" si="87"/>
        <v>#REF!</v>
      </c>
      <c r="AB44" s="268" t="e">
        <f t="shared" si="88"/>
        <v>#REF!</v>
      </c>
      <c r="AC44" s="268" t="e">
        <f t="shared" si="89"/>
        <v>#REF!</v>
      </c>
      <c r="AD44" s="105" t="e">
        <f t="shared" si="77"/>
        <v>#REF!</v>
      </c>
      <c r="AE44" s="275" t="e">
        <f>IF(AD43=0,0,AD44/AD43)</f>
        <v>#REF!</v>
      </c>
      <c r="AF44" s="274">
        <f>IF($O$78=0,0,AD44/$O$78)</f>
        <v>0</v>
      </c>
    </row>
    <row r="45" spans="1:32" x14ac:dyDescent="0.15">
      <c r="A45" s="104" t="s">
        <v>103</v>
      </c>
      <c r="B45" s="264" t="e">
        <f>SalesForecastYear1!#REF!</f>
        <v>#REF!</v>
      </c>
      <c r="C45" s="267" t="e">
        <f>C43-C44</f>
        <v>#REF!</v>
      </c>
      <c r="D45" s="267" t="e">
        <f t="shared" ref="D45:N45" si="90">D43-D44</f>
        <v>#REF!</v>
      </c>
      <c r="E45" s="267" t="e">
        <f t="shared" si="90"/>
        <v>#REF!</v>
      </c>
      <c r="F45" s="267" t="e">
        <f t="shared" si="90"/>
        <v>#REF!</v>
      </c>
      <c r="G45" s="267" t="e">
        <f t="shared" si="90"/>
        <v>#REF!</v>
      </c>
      <c r="H45" s="267" t="e">
        <f t="shared" si="90"/>
        <v>#REF!</v>
      </c>
      <c r="I45" s="267" t="e">
        <f t="shared" si="90"/>
        <v>#REF!</v>
      </c>
      <c r="J45" s="267" t="e">
        <f t="shared" si="90"/>
        <v>#REF!</v>
      </c>
      <c r="K45" s="267" t="e">
        <f t="shared" si="90"/>
        <v>#REF!</v>
      </c>
      <c r="L45" s="267" t="e">
        <f t="shared" si="90"/>
        <v>#REF!</v>
      </c>
      <c r="M45" s="267" t="e">
        <f t="shared" si="90"/>
        <v>#REF!</v>
      </c>
      <c r="N45" s="267" t="e">
        <f t="shared" si="90"/>
        <v>#REF!</v>
      </c>
      <c r="O45" s="105" t="e">
        <f t="shared" si="75"/>
        <v>#REF!</v>
      </c>
      <c r="P45" s="275" t="e">
        <f>IF(O43=0,0,O45/O43)</f>
        <v>#REF!</v>
      </c>
      <c r="Q45" s="274">
        <f>IF($O$79=0,0,O45/$O$79)</f>
        <v>0</v>
      </c>
      <c r="R45" s="267" t="e">
        <f>R43-R44</f>
        <v>#REF!</v>
      </c>
      <c r="S45" s="267" t="e">
        <f t="shared" ref="S45:AC45" si="91">S43-S44</f>
        <v>#REF!</v>
      </c>
      <c r="T45" s="267" t="e">
        <f t="shared" si="91"/>
        <v>#REF!</v>
      </c>
      <c r="U45" s="267" t="e">
        <f t="shared" si="91"/>
        <v>#REF!</v>
      </c>
      <c r="V45" s="267" t="e">
        <f t="shared" si="91"/>
        <v>#REF!</v>
      </c>
      <c r="W45" s="267" t="e">
        <f t="shared" si="91"/>
        <v>#REF!</v>
      </c>
      <c r="X45" s="267" t="e">
        <f t="shared" si="91"/>
        <v>#REF!</v>
      </c>
      <c r="Y45" s="267" t="e">
        <f t="shared" si="91"/>
        <v>#REF!</v>
      </c>
      <c r="Z45" s="267" t="e">
        <f t="shared" si="91"/>
        <v>#REF!</v>
      </c>
      <c r="AA45" s="267" t="e">
        <f t="shared" si="91"/>
        <v>#REF!</v>
      </c>
      <c r="AB45" s="267" t="e">
        <f t="shared" si="91"/>
        <v>#REF!</v>
      </c>
      <c r="AC45" s="267" t="e">
        <f t="shared" si="91"/>
        <v>#REF!</v>
      </c>
      <c r="AD45" s="105" t="e">
        <f t="shared" si="77"/>
        <v>#REF!</v>
      </c>
      <c r="AE45" s="275" t="e">
        <f>IF(AD43=0,0,AD45/AD43)</f>
        <v>#REF!</v>
      </c>
      <c r="AF45" s="274">
        <f>IF($O$79=0,0,AD45/$O$79)</f>
        <v>0</v>
      </c>
    </row>
    <row r="46" spans="1:32" x14ac:dyDescent="0.15">
      <c r="A46" s="104"/>
      <c r="B46" s="264"/>
      <c r="C46" s="441"/>
      <c r="D46" s="441"/>
      <c r="E46" s="441"/>
      <c r="F46" s="441"/>
      <c r="G46" s="441"/>
      <c r="H46" s="441"/>
      <c r="I46" s="441"/>
      <c r="J46" s="441"/>
      <c r="K46" s="441"/>
      <c r="L46" s="441"/>
      <c r="M46" s="441"/>
      <c r="N46" s="441"/>
      <c r="O46" s="105"/>
      <c r="P46" s="275"/>
      <c r="Q46" s="274"/>
      <c r="R46" s="441"/>
      <c r="S46" s="441"/>
      <c r="T46" s="441"/>
      <c r="U46" s="441"/>
      <c r="V46" s="441"/>
      <c r="W46" s="441"/>
      <c r="X46" s="441"/>
      <c r="Y46" s="441"/>
      <c r="Z46" s="441"/>
      <c r="AA46" s="441"/>
      <c r="AB46" s="441"/>
      <c r="AC46" s="441"/>
      <c r="AD46" s="105"/>
      <c r="AE46" s="275"/>
      <c r="AF46" s="274"/>
    </row>
    <row r="47" spans="1:32" x14ac:dyDescent="0.15">
      <c r="A47" s="112" t="str">
        <f>SalesForecastYear1!B68</f>
        <v>Classroom or program 7</v>
      </c>
      <c r="B47" s="264"/>
      <c r="C47" s="441"/>
      <c r="D47" s="441"/>
      <c r="E47" s="441"/>
      <c r="F47" s="441"/>
      <c r="G47" s="441"/>
      <c r="H47" s="441"/>
      <c r="I47" s="441"/>
      <c r="J47" s="441"/>
      <c r="K47" s="441"/>
      <c r="L47" s="441"/>
      <c r="M47" s="441"/>
      <c r="N47" s="441"/>
      <c r="O47" s="105"/>
      <c r="P47" s="275"/>
      <c r="Q47" s="274"/>
      <c r="R47" s="441"/>
      <c r="S47" s="441"/>
      <c r="T47" s="441"/>
      <c r="U47" s="441"/>
      <c r="V47" s="441"/>
      <c r="W47" s="441"/>
      <c r="X47" s="441"/>
      <c r="Y47" s="441"/>
      <c r="Z47" s="441"/>
      <c r="AA47" s="441"/>
      <c r="AB47" s="441"/>
      <c r="AC47" s="441"/>
      <c r="AD47" s="105"/>
      <c r="AE47" s="275"/>
      <c r="AF47" s="274"/>
    </row>
    <row r="48" spans="1:32" x14ac:dyDescent="0.15">
      <c r="A48" s="101" t="str">
        <f>Unit7&amp; " Sold"</f>
        <v>0 Sold</v>
      </c>
      <c r="B48" s="101">
        <f>Unit7_Annual</f>
        <v>6.666666666666667</v>
      </c>
      <c r="C48" s="266">
        <f>SalesForecastYear1!C69+(SalesForecastYear1!C69*$C$7)</f>
        <v>8</v>
      </c>
      <c r="D48" s="266">
        <f>SalesForecastYear1!D69+(SalesForecastYear1!D69*$C$7)</f>
        <v>8</v>
      </c>
      <c r="E48" s="266">
        <f>SalesForecastYear1!E69+(SalesForecastYear1!E69*$C$7)</f>
        <v>8</v>
      </c>
      <c r="F48" s="266">
        <f>SalesForecastYear1!F69+(SalesForecastYear1!F69*$C$7)</f>
        <v>8</v>
      </c>
      <c r="G48" s="266">
        <f>SalesForecastYear1!G69+(SalesForecastYear1!G69*$C$7)</f>
        <v>8</v>
      </c>
      <c r="H48" s="266">
        <f>SalesForecastYear1!H69+(SalesForecastYear1!H69*$C$7)</f>
        <v>8</v>
      </c>
      <c r="I48" s="266">
        <f>SalesForecastYear1!I69+(SalesForecastYear1!I69*$C$7)</f>
        <v>8</v>
      </c>
      <c r="J48" s="266">
        <f>SalesForecastYear1!J69+(SalesForecastYear1!J69*$C$7)</f>
        <v>8</v>
      </c>
      <c r="K48" s="266">
        <f>SalesForecastYear1!K69+(SalesForecastYear1!K69*$C$7)</f>
        <v>8</v>
      </c>
      <c r="L48" s="266">
        <f>SalesForecastYear1!L69+(SalesForecastYear1!L69*$C$7)</f>
        <v>8</v>
      </c>
      <c r="M48" s="266">
        <f>SalesForecastYear1!M69+(SalesForecastYear1!M69*$C$7)</f>
        <v>0</v>
      </c>
      <c r="N48" s="266">
        <f>SalesForecastYear1!N69+(SalesForecastYear1!N69*$C$7)</f>
        <v>0</v>
      </c>
      <c r="O48" s="280">
        <f t="shared" si="75"/>
        <v>80</v>
      </c>
      <c r="P48" s="7"/>
      <c r="Q48" s="274">
        <f>IF($O$76=0,0,O48/$O$76)</f>
        <v>0</v>
      </c>
      <c r="R48" s="266">
        <f>C48+(C48*$C$8)</f>
        <v>8</v>
      </c>
      <c r="S48" s="266">
        <f t="shared" ref="S48:S50" si="92">D48+(D48*$C$8)</f>
        <v>8</v>
      </c>
      <c r="T48" s="266">
        <f t="shared" ref="T48:T50" si="93">E48+(E48*$C$8)</f>
        <v>8</v>
      </c>
      <c r="U48" s="266">
        <f t="shared" ref="U48:U50" si="94">F48+(F48*$C$8)</f>
        <v>8</v>
      </c>
      <c r="V48" s="266">
        <f t="shared" ref="V48:V50" si="95">G48+(G48*$C$8)</f>
        <v>8</v>
      </c>
      <c r="W48" s="266">
        <f t="shared" ref="W48:W50" si="96">H48+(H48*$C$8)</f>
        <v>8</v>
      </c>
      <c r="X48" s="266">
        <f t="shared" ref="X48:X50" si="97">I48+(I48*$C$8)</f>
        <v>8</v>
      </c>
      <c r="Y48" s="266">
        <f t="shared" ref="Y48:Y50" si="98">J48+(J48*$C$8)</f>
        <v>8</v>
      </c>
      <c r="Z48" s="266">
        <f t="shared" ref="Z48:Z50" si="99">K48+(K48*$C$8)</f>
        <v>8</v>
      </c>
      <c r="AA48" s="266">
        <f t="shared" ref="AA48:AA50" si="100">L48+(L48*$C$8)</f>
        <v>8</v>
      </c>
      <c r="AB48" s="266">
        <f t="shared" ref="AB48:AB50" si="101">M48+(M48*$C$8)</f>
        <v>0</v>
      </c>
      <c r="AC48" s="266">
        <f t="shared" ref="AC48:AC50" si="102">N48+(N48*$C$8)</f>
        <v>0</v>
      </c>
      <c r="AD48" s="280">
        <f t="shared" ref="AD48:AD51" si="103">SUM(R48:AC48)</f>
        <v>80</v>
      </c>
      <c r="AE48" s="7"/>
      <c r="AF48" s="274">
        <f>IF($O$76=0,0,AD48/$O$76)</f>
        <v>0</v>
      </c>
    </row>
    <row r="49" spans="1:32" x14ac:dyDescent="0.15">
      <c r="A49" s="115" t="s">
        <v>105</v>
      </c>
      <c r="B49" s="263">
        <f>category7_Annual_sales</f>
        <v>0</v>
      </c>
      <c r="C49" s="268">
        <f>SalesForecastYear1!C70+(SalesForecastYear1!C70*$C$7)</f>
        <v>0</v>
      </c>
      <c r="D49" s="268">
        <f>SalesForecastYear1!D70+(SalesForecastYear1!D70*$C$7)</f>
        <v>0</v>
      </c>
      <c r="E49" s="268">
        <f>SalesForecastYear1!E70+(SalesForecastYear1!E70*$C$7)</f>
        <v>0</v>
      </c>
      <c r="F49" s="268">
        <f>SalesForecastYear1!F70+(SalesForecastYear1!F70*$C$7)</f>
        <v>0</v>
      </c>
      <c r="G49" s="268">
        <f>SalesForecastYear1!G70+(SalesForecastYear1!G70*$C$7)</f>
        <v>0</v>
      </c>
      <c r="H49" s="268">
        <f>SalesForecastYear1!H70+(SalesForecastYear1!H70*$C$7)</f>
        <v>0</v>
      </c>
      <c r="I49" s="268">
        <f>SalesForecastYear1!I70+(SalesForecastYear1!I70*$C$7)</f>
        <v>0</v>
      </c>
      <c r="J49" s="268">
        <f>SalesForecastYear1!J70+(SalesForecastYear1!J70*$C$7)</f>
        <v>0</v>
      </c>
      <c r="K49" s="268">
        <f>SalesForecastYear1!K70+(SalesForecastYear1!K70*$C$7)</f>
        <v>0</v>
      </c>
      <c r="L49" s="268">
        <f>SalesForecastYear1!L70+(SalesForecastYear1!L70*$C$7)</f>
        <v>0</v>
      </c>
      <c r="M49" s="268">
        <f>SalesForecastYear1!M70+(SalesForecastYear1!M70*$C$7)</f>
        <v>0</v>
      </c>
      <c r="N49" s="268">
        <f>SalesForecastYear1!N70+(SalesForecastYear1!N70*$C$7)</f>
        <v>0</v>
      </c>
      <c r="O49" s="105">
        <f t="shared" si="75"/>
        <v>0</v>
      </c>
      <c r="P49" s="275">
        <f>(P50+P51)</f>
        <v>0</v>
      </c>
      <c r="Q49" s="274">
        <f>IF($O$77=0,0,O49/$O$77)</f>
        <v>0</v>
      </c>
      <c r="R49" s="268">
        <f t="shared" ref="R49:R50" si="104">C49+(C49*$C$8)</f>
        <v>0</v>
      </c>
      <c r="S49" s="268">
        <f t="shared" si="92"/>
        <v>0</v>
      </c>
      <c r="T49" s="268">
        <f t="shared" si="93"/>
        <v>0</v>
      </c>
      <c r="U49" s="268">
        <f t="shared" si="94"/>
        <v>0</v>
      </c>
      <c r="V49" s="268">
        <f t="shared" si="95"/>
        <v>0</v>
      </c>
      <c r="W49" s="268">
        <f t="shared" si="96"/>
        <v>0</v>
      </c>
      <c r="X49" s="268">
        <f t="shared" si="97"/>
        <v>0</v>
      </c>
      <c r="Y49" s="268">
        <f t="shared" si="98"/>
        <v>0</v>
      </c>
      <c r="Z49" s="268">
        <f t="shared" si="99"/>
        <v>0</v>
      </c>
      <c r="AA49" s="268">
        <f t="shared" si="100"/>
        <v>0</v>
      </c>
      <c r="AB49" s="268">
        <f t="shared" si="101"/>
        <v>0</v>
      </c>
      <c r="AC49" s="268">
        <f t="shared" si="102"/>
        <v>0</v>
      </c>
      <c r="AD49" s="105">
        <f t="shared" si="103"/>
        <v>0</v>
      </c>
      <c r="AE49" s="275">
        <f>(AE50+AE51)</f>
        <v>0</v>
      </c>
      <c r="AF49" s="274">
        <f>IF($O$77=0,0,AD49/$O$77)</f>
        <v>0</v>
      </c>
    </row>
    <row r="50" spans="1:32" x14ac:dyDescent="0.15">
      <c r="A50" s="122" t="s">
        <v>204</v>
      </c>
      <c r="B50" s="261" t="e">
        <f>SalesForecastYear1!#REF!</f>
        <v>#REF!</v>
      </c>
      <c r="C50" s="268" t="e">
        <f>SalesForecastYear1!#REF!+(SalesForecastYear1!#REF!*$C$7)</f>
        <v>#REF!</v>
      </c>
      <c r="D50" s="268" t="e">
        <f>SalesForecastYear1!#REF!+(SalesForecastYear1!#REF!*$C$7)</f>
        <v>#REF!</v>
      </c>
      <c r="E50" s="268" t="e">
        <f>SalesForecastYear1!#REF!+(SalesForecastYear1!#REF!*$C$7)</f>
        <v>#REF!</v>
      </c>
      <c r="F50" s="268" t="e">
        <f>SalesForecastYear1!#REF!+(SalesForecastYear1!#REF!*$C$7)</f>
        <v>#REF!</v>
      </c>
      <c r="G50" s="268" t="e">
        <f>SalesForecastYear1!#REF!+(SalesForecastYear1!#REF!*$C$7)</f>
        <v>#REF!</v>
      </c>
      <c r="H50" s="268" t="e">
        <f>SalesForecastYear1!#REF!+(SalesForecastYear1!#REF!*$C$7)</f>
        <v>#REF!</v>
      </c>
      <c r="I50" s="268" t="e">
        <f>SalesForecastYear1!#REF!+(SalesForecastYear1!#REF!*$C$7)</f>
        <v>#REF!</v>
      </c>
      <c r="J50" s="268" t="e">
        <f>SalesForecastYear1!#REF!+(SalesForecastYear1!#REF!*$C$7)</f>
        <v>#REF!</v>
      </c>
      <c r="K50" s="268" t="e">
        <f>SalesForecastYear1!#REF!+(SalesForecastYear1!#REF!*$C$7)</f>
        <v>#REF!</v>
      </c>
      <c r="L50" s="268" t="e">
        <f>SalesForecastYear1!#REF!+(SalesForecastYear1!#REF!*$C$7)</f>
        <v>#REF!</v>
      </c>
      <c r="M50" s="268" t="e">
        <f>SalesForecastYear1!#REF!+(SalesForecastYear1!#REF!*$C$7)</f>
        <v>#REF!</v>
      </c>
      <c r="N50" s="268" t="e">
        <f>SalesForecastYear1!#REF!+(SalesForecastYear1!#REF!*$C$7)</f>
        <v>#REF!</v>
      </c>
      <c r="O50" s="105" t="e">
        <f t="shared" si="75"/>
        <v>#REF!</v>
      </c>
      <c r="P50" s="275">
        <f>IF(O49=0,0,O50/O49)</f>
        <v>0</v>
      </c>
      <c r="Q50" s="274">
        <f>IF($O$78=0,0,O50/$O$78)</f>
        <v>0</v>
      </c>
      <c r="R50" s="268" t="e">
        <f t="shared" si="104"/>
        <v>#REF!</v>
      </c>
      <c r="S50" s="268" t="e">
        <f t="shared" si="92"/>
        <v>#REF!</v>
      </c>
      <c r="T50" s="268" t="e">
        <f t="shared" si="93"/>
        <v>#REF!</v>
      </c>
      <c r="U50" s="268" t="e">
        <f t="shared" si="94"/>
        <v>#REF!</v>
      </c>
      <c r="V50" s="268" t="e">
        <f t="shared" si="95"/>
        <v>#REF!</v>
      </c>
      <c r="W50" s="268" t="e">
        <f t="shared" si="96"/>
        <v>#REF!</v>
      </c>
      <c r="X50" s="268" t="e">
        <f t="shared" si="97"/>
        <v>#REF!</v>
      </c>
      <c r="Y50" s="268" t="e">
        <f t="shared" si="98"/>
        <v>#REF!</v>
      </c>
      <c r="Z50" s="268" t="e">
        <f t="shared" si="99"/>
        <v>#REF!</v>
      </c>
      <c r="AA50" s="268" t="e">
        <f t="shared" si="100"/>
        <v>#REF!</v>
      </c>
      <c r="AB50" s="268" t="e">
        <f t="shared" si="101"/>
        <v>#REF!</v>
      </c>
      <c r="AC50" s="268" t="e">
        <f t="shared" si="102"/>
        <v>#REF!</v>
      </c>
      <c r="AD50" s="105" t="e">
        <f t="shared" si="103"/>
        <v>#REF!</v>
      </c>
      <c r="AE50" s="275">
        <f>IF(AD49=0,0,AD50/AD49)</f>
        <v>0</v>
      </c>
      <c r="AF50" s="274">
        <f>IF($O$78=0,0,AD50/$O$78)</f>
        <v>0</v>
      </c>
    </row>
    <row r="51" spans="1:32" x14ac:dyDescent="0.15">
      <c r="A51" s="104" t="s">
        <v>103</v>
      </c>
      <c r="B51" s="264" t="e">
        <f>SalesForecastYear1!#REF!</f>
        <v>#REF!</v>
      </c>
      <c r="C51" s="267" t="e">
        <f>C49-C50</f>
        <v>#REF!</v>
      </c>
      <c r="D51" s="267" t="e">
        <f t="shared" ref="D51:N51" si="105">D49-D50</f>
        <v>#REF!</v>
      </c>
      <c r="E51" s="267" t="e">
        <f t="shared" si="105"/>
        <v>#REF!</v>
      </c>
      <c r="F51" s="267" t="e">
        <f t="shared" si="105"/>
        <v>#REF!</v>
      </c>
      <c r="G51" s="267" t="e">
        <f t="shared" si="105"/>
        <v>#REF!</v>
      </c>
      <c r="H51" s="267" t="e">
        <f t="shared" si="105"/>
        <v>#REF!</v>
      </c>
      <c r="I51" s="267" t="e">
        <f t="shared" si="105"/>
        <v>#REF!</v>
      </c>
      <c r="J51" s="267" t="e">
        <f t="shared" si="105"/>
        <v>#REF!</v>
      </c>
      <c r="K51" s="267" t="e">
        <f t="shared" si="105"/>
        <v>#REF!</v>
      </c>
      <c r="L51" s="267" t="e">
        <f t="shared" si="105"/>
        <v>#REF!</v>
      </c>
      <c r="M51" s="267" t="e">
        <f t="shared" si="105"/>
        <v>#REF!</v>
      </c>
      <c r="N51" s="267" t="e">
        <f t="shared" si="105"/>
        <v>#REF!</v>
      </c>
      <c r="O51" s="105" t="e">
        <f t="shared" si="75"/>
        <v>#REF!</v>
      </c>
      <c r="P51" s="275">
        <f>IF(O49=0,0,O51/O49)</f>
        <v>0</v>
      </c>
      <c r="Q51" s="274">
        <f>IF($O$79=0,0,O51/$O$79)</f>
        <v>0</v>
      </c>
      <c r="R51" s="267" t="e">
        <f>R49-R50</f>
        <v>#REF!</v>
      </c>
      <c r="S51" s="267" t="e">
        <f t="shared" ref="S51:AC51" si="106">S49-S50</f>
        <v>#REF!</v>
      </c>
      <c r="T51" s="267" t="e">
        <f t="shared" si="106"/>
        <v>#REF!</v>
      </c>
      <c r="U51" s="267" t="e">
        <f t="shared" si="106"/>
        <v>#REF!</v>
      </c>
      <c r="V51" s="267" t="e">
        <f t="shared" si="106"/>
        <v>#REF!</v>
      </c>
      <c r="W51" s="267" t="e">
        <f t="shared" si="106"/>
        <v>#REF!</v>
      </c>
      <c r="X51" s="267" t="e">
        <f t="shared" si="106"/>
        <v>#REF!</v>
      </c>
      <c r="Y51" s="267" t="e">
        <f t="shared" si="106"/>
        <v>#REF!</v>
      </c>
      <c r="Z51" s="267" t="e">
        <f t="shared" si="106"/>
        <v>#REF!</v>
      </c>
      <c r="AA51" s="267" t="e">
        <f t="shared" si="106"/>
        <v>#REF!</v>
      </c>
      <c r="AB51" s="267" t="e">
        <f t="shared" si="106"/>
        <v>#REF!</v>
      </c>
      <c r="AC51" s="267" t="e">
        <f t="shared" si="106"/>
        <v>#REF!</v>
      </c>
      <c r="AD51" s="105" t="e">
        <f t="shared" si="103"/>
        <v>#REF!</v>
      </c>
      <c r="AE51" s="275">
        <f>IF(AD49=0,0,AD51/AD49)</f>
        <v>0</v>
      </c>
      <c r="AF51" s="274">
        <f>IF($O$79=0,0,AD51/$O$79)</f>
        <v>0</v>
      </c>
    </row>
    <row r="52" spans="1:32" x14ac:dyDescent="0.15">
      <c r="A52" s="104"/>
      <c r="B52" s="264"/>
      <c r="C52" s="441"/>
      <c r="D52" s="441"/>
      <c r="E52" s="441"/>
      <c r="F52" s="441"/>
      <c r="G52" s="441"/>
      <c r="H52" s="441"/>
      <c r="I52" s="441"/>
      <c r="J52" s="441"/>
      <c r="K52" s="441"/>
      <c r="L52" s="441"/>
      <c r="M52" s="441"/>
      <c r="N52" s="441"/>
      <c r="O52" s="105"/>
      <c r="P52" s="275"/>
      <c r="Q52" s="274"/>
      <c r="R52" s="441"/>
      <c r="S52" s="441"/>
      <c r="T52" s="441"/>
      <c r="U52" s="441"/>
      <c r="V52" s="441"/>
      <c r="W52" s="441"/>
      <c r="X52" s="441"/>
      <c r="Y52" s="441"/>
      <c r="Z52" s="441"/>
      <c r="AA52" s="441"/>
      <c r="AB52" s="441"/>
      <c r="AC52" s="441"/>
      <c r="AD52" s="105"/>
      <c r="AE52" s="275"/>
      <c r="AF52" s="274"/>
    </row>
    <row r="53" spans="1:32" x14ac:dyDescent="0.15">
      <c r="A53" s="112" t="str">
        <f>SalesForecastYear1!B61</f>
        <v>Classroom or program 6</v>
      </c>
      <c r="B53" s="264"/>
      <c r="C53" s="441"/>
      <c r="D53" s="441"/>
      <c r="E53" s="441"/>
      <c r="F53" s="441"/>
      <c r="G53" s="441"/>
      <c r="H53" s="441"/>
      <c r="I53" s="441"/>
      <c r="J53" s="441"/>
      <c r="K53" s="441"/>
      <c r="L53" s="441"/>
      <c r="M53" s="441"/>
      <c r="N53" s="441"/>
      <c r="O53" s="105"/>
      <c r="P53" s="275"/>
      <c r="Q53" s="274"/>
      <c r="R53" s="441"/>
      <c r="S53" s="441"/>
      <c r="T53" s="441"/>
      <c r="U53" s="441"/>
      <c r="V53" s="441"/>
      <c r="W53" s="441"/>
      <c r="X53" s="441"/>
      <c r="Y53" s="441"/>
      <c r="Z53" s="441"/>
      <c r="AA53" s="441"/>
      <c r="AB53" s="441"/>
      <c r="AC53" s="441"/>
      <c r="AD53" s="105"/>
      <c r="AE53" s="275"/>
      <c r="AF53" s="274"/>
    </row>
    <row r="54" spans="1:32" x14ac:dyDescent="0.15">
      <c r="A54" s="101" t="str">
        <f>Unit8&amp; " Sold"</f>
        <v>0 Sold</v>
      </c>
      <c r="B54" s="101">
        <f>Unit8_Annual</f>
        <v>9.1666666666666661</v>
      </c>
      <c r="C54" s="266">
        <f>SalesForecastYear1!C62+(SalesForecastYear1!C62*$C$7)</f>
        <v>11</v>
      </c>
      <c r="D54" s="266">
        <f>SalesForecastYear1!D62+(SalesForecastYear1!D62*$C$7)</f>
        <v>11</v>
      </c>
      <c r="E54" s="266">
        <f>SalesForecastYear1!E62+(SalesForecastYear1!E62*$C$7)</f>
        <v>11</v>
      </c>
      <c r="F54" s="266">
        <f>SalesForecastYear1!F62+(SalesForecastYear1!F62*$C$7)</f>
        <v>11</v>
      </c>
      <c r="G54" s="266">
        <f>SalesForecastYear1!G62+(SalesForecastYear1!G62*$C$7)</f>
        <v>11</v>
      </c>
      <c r="H54" s="266">
        <f>SalesForecastYear1!H62+(SalesForecastYear1!H62*$C$7)</f>
        <v>11</v>
      </c>
      <c r="I54" s="266">
        <f>SalesForecastYear1!I62+(SalesForecastYear1!I62*$C$7)</f>
        <v>11</v>
      </c>
      <c r="J54" s="266">
        <f>SalesForecastYear1!J62+(SalesForecastYear1!J62*$C$7)</f>
        <v>11</v>
      </c>
      <c r="K54" s="266">
        <f>SalesForecastYear1!K62+(SalesForecastYear1!K62*$C$7)</f>
        <v>11</v>
      </c>
      <c r="L54" s="266">
        <f>SalesForecastYear1!L62+(SalesForecastYear1!L62*$C$7)</f>
        <v>11</v>
      </c>
      <c r="M54" s="266">
        <f>SalesForecastYear1!M62+(SalesForecastYear1!M62*$C$7)</f>
        <v>0</v>
      </c>
      <c r="N54" s="266">
        <f>SalesForecastYear1!N62+(SalesForecastYear1!N62*$C$7)</f>
        <v>0</v>
      </c>
      <c r="O54" s="280">
        <f t="shared" si="75"/>
        <v>110</v>
      </c>
      <c r="P54" s="7"/>
      <c r="Q54" s="274">
        <f>IF($O$76=0,0,O54/$O$76)</f>
        <v>0</v>
      </c>
      <c r="R54" s="266">
        <f>C54+(C54*$C$8)</f>
        <v>11</v>
      </c>
      <c r="S54" s="266">
        <f t="shared" ref="S54:S56" si="107">D54+(D54*$C$8)</f>
        <v>11</v>
      </c>
      <c r="T54" s="266">
        <f t="shared" ref="T54:T56" si="108">E54+(E54*$C$8)</f>
        <v>11</v>
      </c>
      <c r="U54" s="266">
        <f t="shared" ref="U54:U56" si="109">F54+(F54*$C$8)</f>
        <v>11</v>
      </c>
      <c r="V54" s="266">
        <f t="shared" ref="V54:V56" si="110">G54+(G54*$C$8)</f>
        <v>11</v>
      </c>
      <c r="W54" s="266">
        <f t="shared" ref="W54:W56" si="111">H54+(H54*$C$8)</f>
        <v>11</v>
      </c>
      <c r="X54" s="266">
        <f t="shared" ref="X54:X56" si="112">I54+(I54*$C$8)</f>
        <v>11</v>
      </c>
      <c r="Y54" s="266">
        <f t="shared" ref="Y54:Y56" si="113">J54+(J54*$C$8)</f>
        <v>11</v>
      </c>
      <c r="Z54" s="266">
        <f t="shared" ref="Z54:Z56" si="114">K54+(K54*$C$8)</f>
        <v>11</v>
      </c>
      <c r="AA54" s="266">
        <f t="shared" ref="AA54:AA56" si="115">L54+(L54*$C$8)</f>
        <v>11</v>
      </c>
      <c r="AB54" s="266">
        <f t="shared" ref="AB54:AB56" si="116">M54+(M54*$C$8)</f>
        <v>0</v>
      </c>
      <c r="AC54" s="266">
        <f t="shared" ref="AC54:AC56" si="117">N54+(N54*$C$8)</f>
        <v>0</v>
      </c>
      <c r="AD54" s="280">
        <f t="shared" ref="AD54:AD57" si="118">SUM(R54:AC54)</f>
        <v>110</v>
      </c>
      <c r="AE54" s="7"/>
      <c r="AF54" s="274">
        <f>IF($O$76=0,0,AD54/$O$76)</f>
        <v>0</v>
      </c>
    </row>
    <row r="55" spans="1:32" x14ac:dyDescent="0.15">
      <c r="A55" s="115" t="s">
        <v>105</v>
      </c>
      <c r="B55" s="263">
        <f>Category8_Annual_Sales</f>
        <v>0</v>
      </c>
      <c r="C55" s="268">
        <f>SalesForecastYear1!C63+(SalesForecastYear1!C63*$C$7)</f>
        <v>0</v>
      </c>
      <c r="D55" s="268">
        <f>SalesForecastYear1!D63+(SalesForecastYear1!D63*$C$7)</f>
        <v>0</v>
      </c>
      <c r="E55" s="268">
        <f>SalesForecastYear1!E63+(SalesForecastYear1!E63*$C$7)</f>
        <v>0</v>
      </c>
      <c r="F55" s="268">
        <f>SalesForecastYear1!F63+(SalesForecastYear1!F63*$C$7)</f>
        <v>0</v>
      </c>
      <c r="G55" s="268">
        <f>SalesForecastYear1!G63+(SalesForecastYear1!G63*$C$7)</f>
        <v>0</v>
      </c>
      <c r="H55" s="268">
        <f>SalesForecastYear1!H63+(SalesForecastYear1!H63*$C$7)</f>
        <v>0</v>
      </c>
      <c r="I55" s="268">
        <f>SalesForecastYear1!I63+(SalesForecastYear1!I63*$C$7)</f>
        <v>0</v>
      </c>
      <c r="J55" s="268">
        <f>SalesForecastYear1!J63+(SalesForecastYear1!J63*$C$7)</f>
        <v>0</v>
      </c>
      <c r="K55" s="268">
        <f>SalesForecastYear1!K63+(SalesForecastYear1!K63*$C$7)</f>
        <v>0</v>
      </c>
      <c r="L55" s="268">
        <f>SalesForecastYear1!L63+(SalesForecastYear1!L63*$C$7)</f>
        <v>0</v>
      </c>
      <c r="M55" s="268">
        <f>SalesForecastYear1!M63+(SalesForecastYear1!M63*$C$7)</f>
        <v>0</v>
      </c>
      <c r="N55" s="268">
        <f>SalesForecastYear1!N63+(SalesForecastYear1!N63*$C$7)</f>
        <v>0</v>
      </c>
      <c r="O55" s="105">
        <f t="shared" si="75"/>
        <v>0</v>
      </c>
      <c r="P55" s="275">
        <f>(P56+P57)</f>
        <v>0</v>
      </c>
      <c r="Q55" s="274">
        <f>IF($O$77=0,0,O55/$O$77)</f>
        <v>0</v>
      </c>
      <c r="R55" s="268">
        <f t="shared" ref="R55:R56" si="119">C55+(C55*$C$8)</f>
        <v>0</v>
      </c>
      <c r="S55" s="268">
        <f t="shared" si="107"/>
        <v>0</v>
      </c>
      <c r="T55" s="268">
        <f t="shared" si="108"/>
        <v>0</v>
      </c>
      <c r="U55" s="268">
        <f t="shared" si="109"/>
        <v>0</v>
      </c>
      <c r="V55" s="268">
        <f t="shared" si="110"/>
        <v>0</v>
      </c>
      <c r="W55" s="268">
        <f t="shared" si="111"/>
        <v>0</v>
      </c>
      <c r="X55" s="268">
        <f t="shared" si="112"/>
        <v>0</v>
      </c>
      <c r="Y55" s="268">
        <f t="shared" si="113"/>
        <v>0</v>
      </c>
      <c r="Z55" s="268">
        <f t="shared" si="114"/>
        <v>0</v>
      </c>
      <c r="AA55" s="268">
        <f t="shared" si="115"/>
        <v>0</v>
      </c>
      <c r="AB55" s="268">
        <f t="shared" si="116"/>
        <v>0</v>
      </c>
      <c r="AC55" s="268">
        <f t="shared" si="117"/>
        <v>0</v>
      </c>
      <c r="AD55" s="105">
        <f t="shared" si="118"/>
        <v>0</v>
      </c>
      <c r="AE55" s="275">
        <f>(AE56+AE57)</f>
        <v>0</v>
      </c>
      <c r="AF55" s="274">
        <f>IF($O$77=0,0,AD55/$O$77)</f>
        <v>0</v>
      </c>
    </row>
    <row r="56" spans="1:32" x14ac:dyDescent="0.15">
      <c r="A56" s="122" t="s">
        <v>204</v>
      </c>
      <c r="B56" s="261" t="e">
        <f>SalesForecastYear1!#REF!</f>
        <v>#REF!</v>
      </c>
      <c r="C56" s="268" t="e">
        <f>SalesForecastYear1!#REF!+(SalesForecastYear1!#REF!*$C$7)</f>
        <v>#REF!</v>
      </c>
      <c r="D56" s="268" t="e">
        <f>SalesForecastYear1!#REF!+(SalesForecastYear1!#REF!*$C$7)</f>
        <v>#REF!</v>
      </c>
      <c r="E56" s="268" t="e">
        <f>SalesForecastYear1!#REF!+(SalesForecastYear1!#REF!*$C$7)</f>
        <v>#REF!</v>
      </c>
      <c r="F56" s="268" t="e">
        <f>SalesForecastYear1!#REF!+(SalesForecastYear1!#REF!*$C$7)</f>
        <v>#REF!</v>
      </c>
      <c r="G56" s="268" t="e">
        <f>SalesForecastYear1!#REF!+(SalesForecastYear1!#REF!*$C$7)</f>
        <v>#REF!</v>
      </c>
      <c r="H56" s="268" t="e">
        <f>SalesForecastYear1!#REF!+(SalesForecastYear1!#REF!*$C$7)</f>
        <v>#REF!</v>
      </c>
      <c r="I56" s="268" t="e">
        <f>SalesForecastYear1!#REF!+(SalesForecastYear1!#REF!*$C$7)</f>
        <v>#REF!</v>
      </c>
      <c r="J56" s="268" t="e">
        <f>SalesForecastYear1!#REF!+(SalesForecastYear1!#REF!*$C$7)</f>
        <v>#REF!</v>
      </c>
      <c r="K56" s="268" t="e">
        <f>SalesForecastYear1!#REF!+(SalesForecastYear1!#REF!*$C$7)</f>
        <v>#REF!</v>
      </c>
      <c r="L56" s="268" t="e">
        <f>SalesForecastYear1!#REF!+(SalesForecastYear1!#REF!*$C$7)</f>
        <v>#REF!</v>
      </c>
      <c r="M56" s="268" t="e">
        <f>SalesForecastYear1!#REF!+(SalesForecastYear1!#REF!*$C$7)</f>
        <v>#REF!</v>
      </c>
      <c r="N56" s="268" t="e">
        <f>SalesForecastYear1!#REF!+(SalesForecastYear1!#REF!*$C$7)</f>
        <v>#REF!</v>
      </c>
      <c r="O56" s="105" t="e">
        <f t="shared" si="75"/>
        <v>#REF!</v>
      </c>
      <c r="P56" s="275">
        <f>IF(O55=0,0,O56/O55)</f>
        <v>0</v>
      </c>
      <c r="Q56" s="274">
        <f>IF($O$78=0,0,O56/$O$78)</f>
        <v>0</v>
      </c>
      <c r="R56" s="268" t="e">
        <f t="shared" si="119"/>
        <v>#REF!</v>
      </c>
      <c r="S56" s="268" t="e">
        <f t="shared" si="107"/>
        <v>#REF!</v>
      </c>
      <c r="T56" s="268" t="e">
        <f t="shared" si="108"/>
        <v>#REF!</v>
      </c>
      <c r="U56" s="268" t="e">
        <f t="shared" si="109"/>
        <v>#REF!</v>
      </c>
      <c r="V56" s="268" t="e">
        <f t="shared" si="110"/>
        <v>#REF!</v>
      </c>
      <c r="W56" s="268" t="e">
        <f t="shared" si="111"/>
        <v>#REF!</v>
      </c>
      <c r="X56" s="268" t="e">
        <f t="shared" si="112"/>
        <v>#REF!</v>
      </c>
      <c r="Y56" s="268" t="e">
        <f t="shared" si="113"/>
        <v>#REF!</v>
      </c>
      <c r="Z56" s="268" t="e">
        <f t="shared" si="114"/>
        <v>#REF!</v>
      </c>
      <c r="AA56" s="268" t="e">
        <f t="shared" si="115"/>
        <v>#REF!</v>
      </c>
      <c r="AB56" s="268" t="e">
        <f t="shared" si="116"/>
        <v>#REF!</v>
      </c>
      <c r="AC56" s="268" t="e">
        <f t="shared" si="117"/>
        <v>#REF!</v>
      </c>
      <c r="AD56" s="105" t="e">
        <f t="shared" si="118"/>
        <v>#REF!</v>
      </c>
      <c r="AE56" s="275">
        <f>IF(AD55=0,0,AD56/AD55)</f>
        <v>0</v>
      </c>
      <c r="AF56" s="274">
        <f>IF($O$78=0,0,AD56/$O$78)</f>
        <v>0</v>
      </c>
    </row>
    <row r="57" spans="1:32" x14ac:dyDescent="0.15">
      <c r="A57" s="104" t="s">
        <v>103</v>
      </c>
      <c r="B57" s="264"/>
      <c r="C57" s="267" t="e">
        <f>C55-C56</f>
        <v>#REF!</v>
      </c>
      <c r="D57" s="267" t="e">
        <f t="shared" ref="D57" si="120">D55-D56</f>
        <v>#REF!</v>
      </c>
      <c r="E57" s="267" t="e">
        <f t="shared" ref="E57" si="121">E55-E56</f>
        <v>#REF!</v>
      </c>
      <c r="F57" s="267" t="e">
        <f t="shared" ref="F57" si="122">F55-F56</f>
        <v>#REF!</v>
      </c>
      <c r="G57" s="267" t="e">
        <f t="shared" ref="G57" si="123">G55-G56</f>
        <v>#REF!</v>
      </c>
      <c r="H57" s="267" t="e">
        <f t="shared" ref="H57" si="124">H55-H56</f>
        <v>#REF!</v>
      </c>
      <c r="I57" s="267" t="e">
        <f t="shared" ref="I57" si="125">I55-I56</f>
        <v>#REF!</v>
      </c>
      <c r="J57" s="267" t="e">
        <f t="shared" ref="J57" si="126">J55-J56</f>
        <v>#REF!</v>
      </c>
      <c r="K57" s="267" t="e">
        <f t="shared" ref="K57" si="127">K55-K56</f>
        <v>#REF!</v>
      </c>
      <c r="L57" s="267" t="e">
        <f t="shared" ref="L57" si="128">L55-L56</f>
        <v>#REF!</v>
      </c>
      <c r="M57" s="267" t="e">
        <f t="shared" ref="M57" si="129">M55-M56</f>
        <v>#REF!</v>
      </c>
      <c r="N57" s="267" t="e">
        <f t="shared" ref="N57" si="130">N55-N56</f>
        <v>#REF!</v>
      </c>
      <c r="O57" s="105" t="e">
        <f t="shared" si="75"/>
        <v>#REF!</v>
      </c>
      <c r="P57" s="275">
        <f>IF(O55=0,0,O57/O55)</f>
        <v>0</v>
      </c>
      <c r="Q57" s="274">
        <f>IF($O$79=0,0,O57/$O$79)</f>
        <v>0</v>
      </c>
      <c r="R57" s="267" t="e">
        <f>R55-R56</f>
        <v>#REF!</v>
      </c>
      <c r="S57" s="267" t="e">
        <f t="shared" ref="S57:AC57" si="131">S55-S56</f>
        <v>#REF!</v>
      </c>
      <c r="T57" s="267" t="e">
        <f t="shared" si="131"/>
        <v>#REF!</v>
      </c>
      <c r="U57" s="267" t="e">
        <f t="shared" si="131"/>
        <v>#REF!</v>
      </c>
      <c r="V57" s="267" t="e">
        <f t="shared" si="131"/>
        <v>#REF!</v>
      </c>
      <c r="W57" s="267" t="e">
        <f t="shared" si="131"/>
        <v>#REF!</v>
      </c>
      <c r="X57" s="267" t="e">
        <f t="shared" si="131"/>
        <v>#REF!</v>
      </c>
      <c r="Y57" s="267" t="e">
        <f t="shared" si="131"/>
        <v>#REF!</v>
      </c>
      <c r="Z57" s="267" t="e">
        <f t="shared" si="131"/>
        <v>#REF!</v>
      </c>
      <c r="AA57" s="267" t="e">
        <f t="shared" si="131"/>
        <v>#REF!</v>
      </c>
      <c r="AB57" s="267" t="e">
        <f t="shared" si="131"/>
        <v>#REF!</v>
      </c>
      <c r="AC57" s="267" t="e">
        <f t="shared" si="131"/>
        <v>#REF!</v>
      </c>
      <c r="AD57" s="105" t="e">
        <f t="shared" si="118"/>
        <v>#REF!</v>
      </c>
      <c r="AE57" s="275">
        <f>IF(AD55=0,0,AD57/AD55)</f>
        <v>0</v>
      </c>
      <c r="AF57" s="274">
        <f>IF($O$79=0,0,AD57/$O$79)</f>
        <v>0</v>
      </c>
    </row>
    <row r="58" spans="1:32" x14ac:dyDescent="0.15">
      <c r="A58" s="104"/>
      <c r="B58" s="264"/>
      <c r="C58" s="441"/>
      <c r="D58" s="441"/>
      <c r="E58" s="441"/>
      <c r="F58" s="441"/>
      <c r="G58" s="441"/>
      <c r="H58" s="441"/>
      <c r="I58" s="441"/>
      <c r="J58" s="441"/>
      <c r="K58" s="441"/>
      <c r="L58" s="441"/>
      <c r="M58" s="441"/>
      <c r="N58" s="441"/>
      <c r="O58" s="105"/>
      <c r="P58" s="275"/>
      <c r="Q58" s="274"/>
      <c r="R58" s="441"/>
      <c r="S58" s="441"/>
      <c r="T58" s="441"/>
      <c r="U58" s="441"/>
      <c r="V58" s="441"/>
      <c r="W58" s="441"/>
      <c r="X58" s="441"/>
      <c r="Y58" s="441"/>
      <c r="Z58" s="441"/>
      <c r="AA58" s="441"/>
      <c r="AB58" s="441"/>
      <c r="AC58" s="441"/>
      <c r="AD58" s="105"/>
      <c r="AE58" s="275"/>
      <c r="AF58" s="274"/>
    </row>
    <row r="59" spans="1:32" x14ac:dyDescent="0.15">
      <c r="A59" s="112" t="str">
        <f>SalesForecastYear1!B75</f>
        <v>Classroom or program 8</v>
      </c>
      <c r="B59" s="264"/>
      <c r="C59" s="441"/>
      <c r="D59" s="441"/>
      <c r="E59" s="441"/>
      <c r="F59" s="441"/>
      <c r="G59" s="441"/>
      <c r="H59" s="441"/>
      <c r="I59" s="441"/>
      <c r="J59" s="441"/>
      <c r="K59" s="441"/>
      <c r="L59" s="441"/>
      <c r="M59" s="441"/>
      <c r="N59" s="441"/>
      <c r="O59" s="105"/>
      <c r="P59" s="275"/>
      <c r="Q59" s="274"/>
      <c r="R59" s="441"/>
      <c r="S59" s="441"/>
      <c r="T59" s="441"/>
      <c r="U59" s="441"/>
      <c r="V59" s="441"/>
      <c r="W59" s="441"/>
      <c r="X59" s="441"/>
      <c r="Y59" s="441"/>
      <c r="Z59" s="441"/>
      <c r="AA59" s="441"/>
      <c r="AB59" s="441"/>
      <c r="AC59" s="441"/>
      <c r="AD59" s="105"/>
      <c r="AE59" s="275"/>
      <c r="AF59" s="274"/>
    </row>
    <row r="60" spans="1:32" x14ac:dyDescent="0.15">
      <c r="A60" s="101" t="str">
        <f>Unit9&amp; " Sold"</f>
        <v>0 Sold</v>
      </c>
      <c r="B60" s="101">
        <f>Unit9_Annual</f>
        <v>12.5</v>
      </c>
      <c r="C60" s="266">
        <f>SalesForecastYear1!C76+(SalesForecastYear1!C76*$C$7)</f>
        <v>15</v>
      </c>
      <c r="D60" s="266">
        <f>SalesForecastYear1!D76+(SalesForecastYear1!D76*$C$7)</f>
        <v>15</v>
      </c>
      <c r="E60" s="266">
        <f>SalesForecastYear1!E76+(SalesForecastYear1!E76*$C$7)</f>
        <v>15</v>
      </c>
      <c r="F60" s="266">
        <f>SalesForecastYear1!F76+(SalesForecastYear1!F76*$C$7)</f>
        <v>15</v>
      </c>
      <c r="G60" s="266">
        <f>SalesForecastYear1!G76+(SalesForecastYear1!G76*$C$7)</f>
        <v>15</v>
      </c>
      <c r="H60" s="266">
        <f>SalesForecastYear1!H76+(SalesForecastYear1!H76*$C$7)</f>
        <v>15</v>
      </c>
      <c r="I60" s="266">
        <f>SalesForecastYear1!I76+(SalesForecastYear1!I76*$C$7)</f>
        <v>15</v>
      </c>
      <c r="J60" s="266">
        <f>SalesForecastYear1!J76+(SalesForecastYear1!J76*$C$7)</f>
        <v>15</v>
      </c>
      <c r="K60" s="266">
        <f>SalesForecastYear1!K76+(SalesForecastYear1!K76*$C$7)</f>
        <v>15</v>
      </c>
      <c r="L60" s="266">
        <f>SalesForecastYear1!L76+(SalesForecastYear1!L76*$C$7)</f>
        <v>15</v>
      </c>
      <c r="M60" s="266">
        <f>SalesForecastYear1!M76+(SalesForecastYear1!M76*$C$7)</f>
        <v>0</v>
      </c>
      <c r="N60" s="266">
        <f>SalesForecastYear1!N76+(SalesForecastYear1!N76*$C$7)</f>
        <v>0</v>
      </c>
      <c r="O60" s="280">
        <f t="shared" si="75"/>
        <v>150</v>
      </c>
      <c r="P60" s="7"/>
      <c r="Q60" s="274">
        <f>IF($O$76=0,0,O60/$O$76)</f>
        <v>0</v>
      </c>
      <c r="R60" s="266">
        <f>C60+(C60*$C$8)</f>
        <v>15</v>
      </c>
      <c r="S60" s="266">
        <f t="shared" ref="S60:S62" si="132">D60+(D60*$C$8)</f>
        <v>15</v>
      </c>
      <c r="T60" s="266">
        <f t="shared" ref="T60:T62" si="133">E60+(E60*$C$8)</f>
        <v>15</v>
      </c>
      <c r="U60" s="266">
        <f t="shared" ref="U60:U62" si="134">F60+(F60*$C$8)</f>
        <v>15</v>
      </c>
      <c r="V60" s="266">
        <f t="shared" ref="V60:V62" si="135">G60+(G60*$C$8)</f>
        <v>15</v>
      </c>
      <c r="W60" s="266">
        <f t="shared" ref="W60:W62" si="136">H60+(H60*$C$8)</f>
        <v>15</v>
      </c>
      <c r="X60" s="266">
        <f t="shared" ref="X60:X62" si="137">I60+(I60*$C$8)</f>
        <v>15</v>
      </c>
      <c r="Y60" s="266">
        <f t="shared" ref="Y60:Y62" si="138">J60+(J60*$C$8)</f>
        <v>15</v>
      </c>
      <c r="Z60" s="266">
        <f t="shared" ref="Z60:Z62" si="139">K60+(K60*$C$8)</f>
        <v>15</v>
      </c>
      <c r="AA60" s="266">
        <f t="shared" ref="AA60:AA62" si="140">L60+(L60*$C$8)</f>
        <v>15</v>
      </c>
      <c r="AB60" s="266">
        <f t="shared" ref="AB60:AB62" si="141">M60+(M60*$C$8)</f>
        <v>0</v>
      </c>
      <c r="AC60" s="266">
        <f t="shared" ref="AC60:AC62" si="142">N60+(N60*$C$8)</f>
        <v>0</v>
      </c>
      <c r="AD60" s="280">
        <f t="shared" ref="AD60:AD63" si="143">SUM(R60:AC60)</f>
        <v>150</v>
      </c>
      <c r="AE60" s="7"/>
      <c r="AF60" s="274">
        <f>IF($O$76=0,0,AD60/$O$76)</f>
        <v>0</v>
      </c>
    </row>
    <row r="61" spans="1:32" x14ac:dyDescent="0.15">
      <c r="A61" s="115" t="s">
        <v>105</v>
      </c>
      <c r="B61" s="263">
        <f>Category9_Annual_Sales</f>
        <v>0</v>
      </c>
      <c r="C61" s="268">
        <f>SalesForecastYear1!C77+(SalesForecastYear1!C77*$C$7)</f>
        <v>0</v>
      </c>
      <c r="D61" s="268">
        <f>SalesForecastYear1!D77+(SalesForecastYear1!D77*$C$7)</f>
        <v>0</v>
      </c>
      <c r="E61" s="268">
        <f>SalesForecastYear1!E77+(SalesForecastYear1!E77*$C$7)</f>
        <v>0</v>
      </c>
      <c r="F61" s="268">
        <f>SalesForecastYear1!F77+(SalesForecastYear1!F77*$C$7)</f>
        <v>0</v>
      </c>
      <c r="G61" s="268">
        <f>SalesForecastYear1!G77+(SalesForecastYear1!G77*$C$7)</f>
        <v>0</v>
      </c>
      <c r="H61" s="268">
        <f>SalesForecastYear1!H77+(SalesForecastYear1!H77*$C$7)</f>
        <v>0</v>
      </c>
      <c r="I61" s="268">
        <f>SalesForecastYear1!I77+(SalesForecastYear1!I77*$C$7)</f>
        <v>0</v>
      </c>
      <c r="J61" s="268">
        <f>SalesForecastYear1!J77+(SalesForecastYear1!J77*$C$7)</f>
        <v>0</v>
      </c>
      <c r="K61" s="268">
        <f>SalesForecastYear1!K77+(SalesForecastYear1!K77*$C$7)</f>
        <v>0</v>
      </c>
      <c r="L61" s="268">
        <f>SalesForecastYear1!L77+(SalesForecastYear1!L77*$C$7)</f>
        <v>0</v>
      </c>
      <c r="M61" s="268">
        <f>SalesForecastYear1!M77+(SalesForecastYear1!M77*$C$7)</f>
        <v>0</v>
      </c>
      <c r="N61" s="268">
        <f>SalesForecastYear1!N77+(SalesForecastYear1!N77*$C$7)</f>
        <v>0</v>
      </c>
      <c r="O61" s="105">
        <f t="shared" si="75"/>
        <v>0</v>
      </c>
      <c r="P61" s="275">
        <f>(P62+P63)</f>
        <v>0</v>
      </c>
      <c r="Q61" s="274">
        <f>IF($O$77=0,0,O61/$O$77)</f>
        <v>0</v>
      </c>
      <c r="R61" s="268">
        <f t="shared" ref="R61:R62" si="144">C61+(C61*$C$8)</f>
        <v>0</v>
      </c>
      <c r="S61" s="268">
        <f t="shared" si="132"/>
        <v>0</v>
      </c>
      <c r="T61" s="268">
        <f t="shared" si="133"/>
        <v>0</v>
      </c>
      <c r="U61" s="268">
        <f t="shared" si="134"/>
        <v>0</v>
      </c>
      <c r="V61" s="268">
        <f t="shared" si="135"/>
        <v>0</v>
      </c>
      <c r="W61" s="268">
        <f t="shared" si="136"/>
        <v>0</v>
      </c>
      <c r="X61" s="268">
        <f t="shared" si="137"/>
        <v>0</v>
      </c>
      <c r="Y61" s="268">
        <f t="shared" si="138"/>
        <v>0</v>
      </c>
      <c r="Z61" s="268">
        <f t="shared" si="139"/>
        <v>0</v>
      </c>
      <c r="AA61" s="268">
        <f t="shared" si="140"/>
        <v>0</v>
      </c>
      <c r="AB61" s="268">
        <f t="shared" si="141"/>
        <v>0</v>
      </c>
      <c r="AC61" s="268">
        <f t="shared" si="142"/>
        <v>0</v>
      </c>
      <c r="AD61" s="105">
        <f t="shared" si="143"/>
        <v>0</v>
      </c>
      <c r="AE61" s="275">
        <f>(AE62+AE63)</f>
        <v>0</v>
      </c>
      <c r="AF61" s="274">
        <f>IF($O$77=0,0,AD61/$O$77)</f>
        <v>0</v>
      </c>
    </row>
    <row r="62" spans="1:32" x14ac:dyDescent="0.15">
      <c r="A62" s="122" t="s">
        <v>204</v>
      </c>
      <c r="B62" s="261" t="e">
        <f>SalesForecastYear1!#REF!</f>
        <v>#REF!</v>
      </c>
      <c r="C62" s="268" t="e">
        <f>SalesForecastYear1!#REF!+(SalesForecastYear1!#REF!*$C$7)</f>
        <v>#REF!</v>
      </c>
      <c r="D62" s="268" t="e">
        <f>SalesForecastYear1!#REF!+(SalesForecastYear1!#REF!*$C$7)</f>
        <v>#REF!</v>
      </c>
      <c r="E62" s="268" t="e">
        <f>SalesForecastYear1!#REF!+(SalesForecastYear1!#REF!*$C$7)</f>
        <v>#REF!</v>
      </c>
      <c r="F62" s="268" t="e">
        <f>SalesForecastYear1!#REF!+(SalesForecastYear1!#REF!*$C$7)</f>
        <v>#REF!</v>
      </c>
      <c r="G62" s="268" t="e">
        <f>SalesForecastYear1!#REF!+(SalesForecastYear1!#REF!*$C$7)</f>
        <v>#REF!</v>
      </c>
      <c r="H62" s="268" t="e">
        <f>SalesForecastYear1!#REF!+(SalesForecastYear1!#REF!*$C$7)</f>
        <v>#REF!</v>
      </c>
      <c r="I62" s="268" t="e">
        <f>SalesForecastYear1!#REF!+(SalesForecastYear1!#REF!*$C$7)</f>
        <v>#REF!</v>
      </c>
      <c r="J62" s="268" t="e">
        <f>SalesForecastYear1!#REF!+(SalesForecastYear1!#REF!*$C$7)</f>
        <v>#REF!</v>
      </c>
      <c r="K62" s="268" t="e">
        <f>SalesForecastYear1!#REF!+(SalesForecastYear1!#REF!*$C$7)</f>
        <v>#REF!</v>
      </c>
      <c r="L62" s="268" t="e">
        <f>SalesForecastYear1!#REF!+(SalesForecastYear1!#REF!*$C$7)</f>
        <v>#REF!</v>
      </c>
      <c r="M62" s="268" t="e">
        <f>SalesForecastYear1!#REF!+(SalesForecastYear1!#REF!*$C$7)</f>
        <v>#REF!</v>
      </c>
      <c r="N62" s="268" t="e">
        <f>SalesForecastYear1!#REF!+(SalesForecastYear1!#REF!*$C$7)</f>
        <v>#REF!</v>
      </c>
      <c r="O62" s="105" t="e">
        <f t="shared" si="75"/>
        <v>#REF!</v>
      </c>
      <c r="P62" s="275">
        <f>IF(O61=0,0,O62/O61)</f>
        <v>0</v>
      </c>
      <c r="Q62" s="274">
        <f>IF($O$78=0,0,O62/$O$78)</f>
        <v>0</v>
      </c>
      <c r="R62" s="268" t="e">
        <f t="shared" si="144"/>
        <v>#REF!</v>
      </c>
      <c r="S62" s="268" t="e">
        <f t="shared" si="132"/>
        <v>#REF!</v>
      </c>
      <c r="T62" s="268" t="e">
        <f t="shared" si="133"/>
        <v>#REF!</v>
      </c>
      <c r="U62" s="268" t="e">
        <f t="shared" si="134"/>
        <v>#REF!</v>
      </c>
      <c r="V62" s="268" t="e">
        <f t="shared" si="135"/>
        <v>#REF!</v>
      </c>
      <c r="W62" s="268" t="e">
        <f t="shared" si="136"/>
        <v>#REF!</v>
      </c>
      <c r="X62" s="268" t="e">
        <f t="shared" si="137"/>
        <v>#REF!</v>
      </c>
      <c r="Y62" s="268" t="e">
        <f t="shared" si="138"/>
        <v>#REF!</v>
      </c>
      <c r="Z62" s="268" t="e">
        <f t="shared" si="139"/>
        <v>#REF!</v>
      </c>
      <c r="AA62" s="268" t="e">
        <f t="shared" si="140"/>
        <v>#REF!</v>
      </c>
      <c r="AB62" s="268" t="e">
        <f t="shared" si="141"/>
        <v>#REF!</v>
      </c>
      <c r="AC62" s="268" t="e">
        <f t="shared" si="142"/>
        <v>#REF!</v>
      </c>
      <c r="AD62" s="105" t="e">
        <f t="shared" si="143"/>
        <v>#REF!</v>
      </c>
      <c r="AE62" s="275">
        <f>IF(AD61=0,0,AD62/AD61)</f>
        <v>0</v>
      </c>
      <c r="AF62" s="274">
        <f>IF($O$78=0,0,AD62/$O$78)</f>
        <v>0</v>
      </c>
    </row>
    <row r="63" spans="1:32" x14ac:dyDescent="0.15">
      <c r="A63" s="104" t="s">
        <v>103</v>
      </c>
      <c r="B63" s="264"/>
      <c r="C63" s="267" t="e">
        <f>C61-C62</f>
        <v>#REF!</v>
      </c>
      <c r="D63" s="267" t="e">
        <f t="shared" ref="D63" si="145">D61-D62</f>
        <v>#REF!</v>
      </c>
      <c r="E63" s="267" t="e">
        <f t="shared" ref="E63" si="146">E61-E62</f>
        <v>#REF!</v>
      </c>
      <c r="F63" s="267" t="e">
        <f t="shared" ref="F63" si="147">F61-F62</f>
        <v>#REF!</v>
      </c>
      <c r="G63" s="267" t="e">
        <f t="shared" ref="G63" si="148">G61-G62</f>
        <v>#REF!</v>
      </c>
      <c r="H63" s="267" t="e">
        <f t="shared" ref="H63" si="149">H61-H62</f>
        <v>#REF!</v>
      </c>
      <c r="I63" s="267" t="e">
        <f t="shared" ref="I63" si="150">I61-I62</f>
        <v>#REF!</v>
      </c>
      <c r="J63" s="267" t="e">
        <f t="shared" ref="J63" si="151">J61-J62</f>
        <v>#REF!</v>
      </c>
      <c r="K63" s="267" t="e">
        <f t="shared" ref="K63" si="152">K61-K62</f>
        <v>#REF!</v>
      </c>
      <c r="L63" s="267" t="e">
        <f t="shared" ref="L63" si="153">L61-L62</f>
        <v>#REF!</v>
      </c>
      <c r="M63" s="267" t="e">
        <f t="shared" ref="M63" si="154">M61-M62</f>
        <v>#REF!</v>
      </c>
      <c r="N63" s="267" t="e">
        <f t="shared" ref="N63" si="155">N61-N62</f>
        <v>#REF!</v>
      </c>
      <c r="O63" s="105" t="e">
        <f t="shared" si="75"/>
        <v>#REF!</v>
      </c>
      <c r="P63" s="275">
        <f>IF(O61=0,0,O63/O61)</f>
        <v>0</v>
      </c>
      <c r="Q63" s="274">
        <f>IF($O$79=0,0,O63/$O$79)</f>
        <v>0</v>
      </c>
      <c r="R63" s="267" t="e">
        <f>R61-R62</f>
        <v>#REF!</v>
      </c>
      <c r="S63" s="267" t="e">
        <f t="shared" ref="S63:AC63" si="156">S61-S62</f>
        <v>#REF!</v>
      </c>
      <c r="T63" s="267" t="e">
        <f t="shared" si="156"/>
        <v>#REF!</v>
      </c>
      <c r="U63" s="267" t="e">
        <f t="shared" si="156"/>
        <v>#REF!</v>
      </c>
      <c r="V63" s="267" t="e">
        <f t="shared" si="156"/>
        <v>#REF!</v>
      </c>
      <c r="W63" s="267" t="e">
        <f t="shared" si="156"/>
        <v>#REF!</v>
      </c>
      <c r="X63" s="267" t="e">
        <f t="shared" si="156"/>
        <v>#REF!</v>
      </c>
      <c r="Y63" s="267" t="e">
        <f t="shared" si="156"/>
        <v>#REF!</v>
      </c>
      <c r="Z63" s="267" t="e">
        <f t="shared" si="156"/>
        <v>#REF!</v>
      </c>
      <c r="AA63" s="267" t="e">
        <f t="shared" si="156"/>
        <v>#REF!</v>
      </c>
      <c r="AB63" s="267" t="e">
        <f t="shared" si="156"/>
        <v>#REF!</v>
      </c>
      <c r="AC63" s="267" t="e">
        <f t="shared" si="156"/>
        <v>#REF!</v>
      </c>
      <c r="AD63" s="105" t="e">
        <f t="shared" si="143"/>
        <v>#REF!</v>
      </c>
      <c r="AE63" s="275">
        <f>IF(AD61=0,0,AD63/AD61)</f>
        <v>0</v>
      </c>
      <c r="AF63" s="274">
        <f>IF($O$79=0,0,AD63/$O$79)</f>
        <v>0</v>
      </c>
    </row>
    <row r="64" spans="1:32" x14ac:dyDescent="0.15">
      <c r="A64" s="104"/>
      <c r="B64" s="264"/>
      <c r="C64" s="441"/>
      <c r="D64" s="441"/>
      <c r="E64" s="441"/>
      <c r="F64" s="441"/>
      <c r="G64" s="441"/>
      <c r="H64" s="441"/>
      <c r="I64" s="441"/>
      <c r="J64" s="441"/>
      <c r="K64" s="441"/>
      <c r="L64" s="441"/>
      <c r="M64" s="441"/>
      <c r="N64" s="441"/>
      <c r="O64" s="105"/>
      <c r="P64" s="275"/>
      <c r="Q64" s="274"/>
      <c r="R64" s="441"/>
      <c r="S64" s="441"/>
      <c r="T64" s="441"/>
      <c r="U64" s="441"/>
      <c r="V64" s="441"/>
      <c r="W64" s="441"/>
      <c r="X64" s="441"/>
      <c r="Y64" s="441"/>
      <c r="Z64" s="441"/>
      <c r="AA64" s="441"/>
      <c r="AB64" s="441"/>
      <c r="AC64" s="441"/>
      <c r="AD64" s="105"/>
      <c r="AE64" s="275"/>
      <c r="AF64" s="274"/>
    </row>
    <row r="65" spans="1:32" x14ac:dyDescent="0.15">
      <c r="A65" s="112">
        <f>SalesForecastYear1!B82</f>
        <v>0</v>
      </c>
      <c r="B65" s="101" t="e">
        <f>Unit10_Annual</f>
        <v>#REF!</v>
      </c>
      <c r="C65" s="266">
        <f>SalesForecastYear1!E82+(SalesForecastYear1!E82*$C$7)</f>
        <v>0</v>
      </c>
      <c r="D65" s="266">
        <f>SalesForecastYear1!F82+(SalesForecastYear1!F82*$C$7)</f>
        <v>0</v>
      </c>
      <c r="E65" s="266">
        <f>SalesForecastYear1!G82+(SalesForecastYear1!G82*$C$7)</f>
        <v>0</v>
      </c>
      <c r="F65" s="266">
        <f>SalesForecastYear1!H82+(SalesForecastYear1!H82*$C$7)</f>
        <v>0</v>
      </c>
      <c r="G65" s="266">
        <f>SalesForecastYear1!I82+(SalesForecastYear1!I82*$C$7)</f>
        <v>0</v>
      </c>
      <c r="H65" s="266">
        <f>SalesForecastYear1!J82+(SalesForecastYear1!J82*$C$7)</f>
        <v>0</v>
      </c>
      <c r="I65" s="266">
        <f>SalesForecastYear1!K82+(SalesForecastYear1!K82*$C$7)</f>
        <v>0</v>
      </c>
      <c r="J65" s="266">
        <f>SalesForecastYear1!L82+(SalesForecastYear1!L82*$C$7)</f>
        <v>0</v>
      </c>
      <c r="K65" s="266">
        <f>SalesForecastYear1!M82+(SalesForecastYear1!M82*$C$7)</f>
        <v>0</v>
      </c>
      <c r="L65" s="266">
        <f>SalesForecastYear1!N82+(SalesForecastYear1!N82*$C$7)</f>
        <v>0</v>
      </c>
      <c r="M65" s="266">
        <f>SalesForecastYear1!O82+(SalesForecastYear1!O82*$C$7)</f>
        <v>0</v>
      </c>
      <c r="N65" s="266" t="e">
        <f>SalesForecastYear1!#REF!+(SalesForecastYear1!#REF!*$C$7)</f>
        <v>#REF!</v>
      </c>
      <c r="O65" s="280" t="e">
        <f t="shared" si="75"/>
        <v>#REF!</v>
      </c>
      <c r="P65" s="7"/>
      <c r="Q65" s="274">
        <f>IF($O$76=0,0,O65/$O$76)</f>
        <v>0</v>
      </c>
      <c r="R65" s="266">
        <f>C65+(C65*$C$8)</f>
        <v>0</v>
      </c>
      <c r="S65" s="266">
        <f t="shared" ref="S65:S67" si="157">D65+(D65*$C$8)</f>
        <v>0</v>
      </c>
      <c r="T65" s="266">
        <f t="shared" ref="T65:T67" si="158">E65+(E65*$C$8)</f>
        <v>0</v>
      </c>
      <c r="U65" s="266">
        <f t="shared" ref="U65:U67" si="159">F65+(F65*$C$8)</f>
        <v>0</v>
      </c>
      <c r="V65" s="266">
        <f t="shared" ref="V65:V67" si="160">G65+(G65*$C$8)</f>
        <v>0</v>
      </c>
      <c r="W65" s="266">
        <f t="shared" ref="W65:W67" si="161">H65+(H65*$C$8)</f>
        <v>0</v>
      </c>
      <c r="X65" s="266">
        <f t="shared" ref="X65:X67" si="162">I65+(I65*$C$8)</f>
        <v>0</v>
      </c>
      <c r="Y65" s="266">
        <f t="shared" ref="Y65:Y67" si="163">J65+(J65*$C$8)</f>
        <v>0</v>
      </c>
      <c r="Z65" s="266">
        <f t="shared" ref="Z65:Z67" si="164">K65+(K65*$C$8)</f>
        <v>0</v>
      </c>
      <c r="AA65" s="266">
        <f t="shared" ref="AA65:AA67" si="165">L65+(L65*$C$8)</f>
        <v>0</v>
      </c>
      <c r="AB65" s="266">
        <f t="shared" ref="AB65:AB67" si="166">M65+(M65*$C$8)</f>
        <v>0</v>
      </c>
      <c r="AC65" s="266" t="e">
        <f t="shared" ref="AC65:AC67" si="167">N65+(N65*$C$8)</f>
        <v>#REF!</v>
      </c>
      <c r="AD65" s="280" t="e">
        <f t="shared" ref="AD65:AD68" si="168">SUM(R65:AC65)</f>
        <v>#REF!</v>
      </c>
      <c r="AE65" s="7"/>
      <c r="AF65" s="274">
        <f>IF($O$76=0,0,AD65/$O$76)</f>
        <v>0</v>
      </c>
    </row>
    <row r="66" spans="1:32" x14ac:dyDescent="0.15">
      <c r="A66" s="101" t="str">
        <f>Unit10&amp; " Sold"</f>
        <v>0 Sold</v>
      </c>
      <c r="B66" s="263" t="e">
        <f>Category10_Annual_Sales</f>
        <v>#REF!</v>
      </c>
      <c r="C66" s="268">
        <f>SalesForecastYear1!E83+(SalesForecastYear1!E83*$C$7)</f>
        <v>0</v>
      </c>
      <c r="D66" s="268">
        <f>SalesForecastYear1!F83+(SalesForecastYear1!F83*$C$7)</f>
        <v>0</v>
      </c>
      <c r="E66" s="268">
        <f>SalesForecastYear1!G83+(SalesForecastYear1!G83*$C$7)</f>
        <v>0</v>
      </c>
      <c r="F66" s="268">
        <f>SalesForecastYear1!H83+(SalesForecastYear1!H83*$C$7)</f>
        <v>0</v>
      </c>
      <c r="G66" s="268">
        <f>SalesForecastYear1!I83+(SalesForecastYear1!I83*$C$7)</f>
        <v>0</v>
      </c>
      <c r="H66" s="268">
        <f>SalesForecastYear1!J83+(SalesForecastYear1!J83*$C$7)</f>
        <v>0</v>
      </c>
      <c r="I66" s="268">
        <f>SalesForecastYear1!K83+(SalesForecastYear1!K83*$C$7)</f>
        <v>0</v>
      </c>
      <c r="J66" s="268">
        <f>SalesForecastYear1!L83+(SalesForecastYear1!L83*$C$7)</f>
        <v>0</v>
      </c>
      <c r="K66" s="268">
        <f>SalesForecastYear1!M83+(SalesForecastYear1!M83*$C$7)</f>
        <v>0</v>
      </c>
      <c r="L66" s="268">
        <f>SalesForecastYear1!N83+(SalesForecastYear1!N83*$C$7)</f>
        <v>0</v>
      </c>
      <c r="M66" s="268">
        <f>SalesForecastYear1!O83+(SalesForecastYear1!O83*$C$7)</f>
        <v>0</v>
      </c>
      <c r="N66" s="268" t="e">
        <f>SalesForecastYear1!#REF!+(SalesForecastYear1!#REF!*$C$7)</f>
        <v>#REF!</v>
      </c>
      <c r="O66" s="105" t="e">
        <f t="shared" si="75"/>
        <v>#REF!</v>
      </c>
      <c r="P66" s="275" t="e">
        <f>(P67+P68)</f>
        <v>#REF!</v>
      </c>
      <c r="Q66" s="274">
        <f>IF($O$77=0,0,O66/$O$77)</f>
        <v>0</v>
      </c>
      <c r="R66" s="268">
        <f t="shared" ref="R66:R67" si="169">C66+(C66*$C$8)</f>
        <v>0</v>
      </c>
      <c r="S66" s="268">
        <f t="shared" si="157"/>
        <v>0</v>
      </c>
      <c r="T66" s="268">
        <f t="shared" si="158"/>
        <v>0</v>
      </c>
      <c r="U66" s="268">
        <f t="shared" si="159"/>
        <v>0</v>
      </c>
      <c r="V66" s="268">
        <f t="shared" si="160"/>
        <v>0</v>
      </c>
      <c r="W66" s="268">
        <f t="shared" si="161"/>
        <v>0</v>
      </c>
      <c r="X66" s="268">
        <f t="shared" si="162"/>
        <v>0</v>
      </c>
      <c r="Y66" s="268">
        <f t="shared" si="163"/>
        <v>0</v>
      </c>
      <c r="Z66" s="268">
        <f t="shared" si="164"/>
        <v>0</v>
      </c>
      <c r="AA66" s="268">
        <f t="shared" si="165"/>
        <v>0</v>
      </c>
      <c r="AB66" s="268">
        <f t="shared" si="166"/>
        <v>0</v>
      </c>
      <c r="AC66" s="268" t="e">
        <f t="shared" si="167"/>
        <v>#REF!</v>
      </c>
      <c r="AD66" s="105" t="e">
        <f t="shared" si="168"/>
        <v>#REF!</v>
      </c>
      <c r="AE66" s="275" t="e">
        <f>(AE67+AE68)</f>
        <v>#REF!</v>
      </c>
      <c r="AF66" s="274">
        <f>IF($O$77=0,0,AD66/$O$77)</f>
        <v>0</v>
      </c>
    </row>
    <row r="67" spans="1:32" x14ac:dyDescent="0.15">
      <c r="A67" s="115" t="s">
        <v>105</v>
      </c>
      <c r="B67" s="263" t="e">
        <f>Category10_Annual_Sales</f>
        <v>#REF!</v>
      </c>
      <c r="C67" s="268">
        <f>SalesForecastYear1!E84+(SalesForecastYear1!E84*$C$7)</f>
        <v>0</v>
      </c>
      <c r="D67" s="268">
        <f>SalesForecastYear1!F84+(SalesForecastYear1!F84*$C$7)</f>
        <v>0</v>
      </c>
      <c r="E67" s="268">
        <f>SalesForecastYear1!G84+(SalesForecastYear1!G84*$C$7)</f>
        <v>0</v>
      </c>
      <c r="F67" s="268">
        <f>SalesForecastYear1!H84+(SalesForecastYear1!H84*$C$7)</f>
        <v>0</v>
      </c>
      <c r="G67" s="268">
        <f>SalesForecastYear1!I84+(SalesForecastYear1!I84*$C$7)</f>
        <v>0</v>
      </c>
      <c r="H67" s="268">
        <f>SalesForecastYear1!J84+(SalesForecastYear1!J84*$C$7)</f>
        <v>0</v>
      </c>
      <c r="I67" s="268">
        <f>SalesForecastYear1!K84+(SalesForecastYear1!K84*$C$7)</f>
        <v>0</v>
      </c>
      <c r="J67" s="268">
        <f>SalesForecastYear1!L84+(SalesForecastYear1!L84*$C$7)</f>
        <v>0</v>
      </c>
      <c r="K67" s="268">
        <f>SalesForecastYear1!M84+(SalesForecastYear1!M84*$C$7)</f>
        <v>0</v>
      </c>
      <c r="L67" s="268">
        <f>SalesForecastYear1!N84+(SalesForecastYear1!N84*$C$7)</f>
        <v>0</v>
      </c>
      <c r="M67" s="268">
        <f>SalesForecastYear1!O84+(SalesForecastYear1!O84*$C$7)</f>
        <v>0</v>
      </c>
      <c r="N67" s="268" t="e">
        <f>SalesForecastYear1!#REF!+(SalesForecastYear1!#REF!*$C$7)</f>
        <v>#REF!</v>
      </c>
      <c r="O67" s="105" t="e">
        <f t="shared" si="75"/>
        <v>#REF!</v>
      </c>
      <c r="P67" s="275" t="e">
        <f>IF(O66=0,0,O67/O66)</f>
        <v>#REF!</v>
      </c>
      <c r="Q67" s="274">
        <f>IF($O$78=0,0,O67/$O$78)</f>
        <v>0</v>
      </c>
      <c r="R67" s="268">
        <f t="shared" si="169"/>
        <v>0</v>
      </c>
      <c r="S67" s="268">
        <f t="shared" si="157"/>
        <v>0</v>
      </c>
      <c r="T67" s="268">
        <f t="shared" si="158"/>
        <v>0</v>
      </c>
      <c r="U67" s="268">
        <f t="shared" si="159"/>
        <v>0</v>
      </c>
      <c r="V67" s="268">
        <f t="shared" si="160"/>
        <v>0</v>
      </c>
      <c r="W67" s="268">
        <f t="shared" si="161"/>
        <v>0</v>
      </c>
      <c r="X67" s="268">
        <f t="shared" si="162"/>
        <v>0</v>
      </c>
      <c r="Y67" s="268">
        <f t="shared" si="163"/>
        <v>0</v>
      </c>
      <c r="Z67" s="268">
        <f t="shared" si="164"/>
        <v>0</v>
      </c>
      <c r="AA67" s="268">
        <f t="shared" si="165"/>
        <v>0</v>
      </c>
      <c r="AB67" s="268">
        <f t="shared" si="166"/>
        <v>0</v>
      </c>
      <c r="AC67" s="268" t="e">
        <f t="shared" si="167"/>
        <v>#REF!</v>
      </c>
      <c r="AD67" s="105" t="e">
        <f t="shared" si="168"/>
        <v>#REF!</v>
      </c>
      <c r="AE67" s="275" t="e">
        <f>IF(AD66=0,0,AD67/AD66)</f>
        <v>#REF!</v>
      </c>
      <c r="AF67" s="274">
        <f>IF($O$78=0,0,AD67/$O$78)</f>
        <v>0</v>
      </c>
    </row>
    <row r="68" spans="1:32" x14ac:dyDescent="0.15">
      <c r="A68" s="122" t="s">
        <v>204</v>
      </c>
      <c r="B68" s="261" t="e">
        <f>SalesForecastYear1!#REF!</f>
        <v>#REF!</v>
      </c>
      <c r="C68" s="267">
        <f>C66-C67</f>
        <v>0</v>
      </c>
      <c r="D68" s="267">
        <f t="shared" ref="D68" si="170">D66-D67</f>
        <v>0</v>
      </c>
      <c r="E68" s="267">
        <f t="shared" ref="E68" si="171">E66-E67</f>
        <v>0</v>
      </c>
      <c r="F68" s="267">
        <f t="shared" ref="F68" si="172">F66-F67</f>
        <v>0</v>
      </c>
      <c r="G68" s="267">
        <f t="shared" ref="G68" si="173">G66-G67</f>
        <v>0</v>
      </c>
      <c r="H68" s="267">
        <f t="shared" ref="H68" si="174">H66-H67</f>
        <v>0</v>
      </c>
      <c r="I68" s="267">
        <f t="shared" ref="I68" si="175">I66-I67</f>
        <v>0</v>
      </c>
      <c r="J68" s="267">
        <f t="shared" ref="J68" si="176">J66-J67</f>
        <v>0</v>
      </c>
      <c r="K68" s="267">
        <f t="shared" ref="K68" si="177">K66-K67</f>
        <v>0</v>
      </c>
      <c r="L68" s="267">
        <f t="shared" ref="L68" si="178">L66-L67</f>
        <v>0</v>
      </c>
      <c r="M68" s="267">
        <f t="shared" ref="M68" si="179">M66-M67</f>
        <v>0</v>
      </c>
      <c r="N68" s="267" t="e">
        <f t="shared" ref="N68" si="180">N66-N67</f>
        <v>#REF!</v>
      </c>
      <c r="O68" s="105" t="e">
        <f t="shared" si="75"/>
        <v>#REF!</v>
      </c>
      <c r="P68" s="275" t="e">
        <f>IF(O66=0,0,O68/O66)</f>
        <v>#REF!</v>
      </c>
      <c r="Q68" s="274">
        <f>IF($O$79=0,0,O68/$O$79)</f>
        <v>0</v>
      </c>
      <c r="R68" s="267">
        <f>R66-R67</f>
        <v>0</v>
      </c>
      <c r="S68" s="267">
        <f t="shared" ref="S68:AC68" si="181">S66-S67</f>
        <v>0</v>
      </c>
      <c r="T68" s="267">
        <f t="shared" si="181"/>
        <v>0</v>
      </c>
      <c r="U68" s="267">
        <f t="shared" si="181"/>
        <v>0</v>
      </c>
      <c r="V68" s="267">
        <f t="shared" si="181"/>
        <v>0</v>
      </c>
      <c r="W68" s="267">
        <f t="shared" si="181"/>
        <v>0</v>
      </c>
      <c r="X68" s="267">
        <f t="shared" si="181"/>
        <v>0</v>
      </c>
      <c r="Y68" s="267">
        <f t="shared" si="181"/>
        <v>0</v>
      </c>
      <c r="Z68" s="267">
        <f t="shared" si="181"/>
        <v>0</v>
      </c>
      <c r="AA68" s="267">
        <f t="shared" si="181"/>
        <v>0</v>
      </c>
      <c r="AB68" s="267">
        <f t="shared" si="181"/>
        <v>0</v>
      </c>
      <c r="AC68" s="267" t="e">
        <f t="shared" si="181"/>
        <v>#REF!</v>
      </c>
      <c r="AD68" s="105" t="e">
        <f t="shared" si="168"/>
        <v>#REF!</v>
      </c>
      <c r="AE68" s="275" t="e">
        <f>IF(AD66=0,0,AD68/AD66)</f>
        <v>#REF!</v>
      </c>
      <c r="AF68" s="274">
        <f>IF($O$79=0,0,AD68/$O$79)</f>
        <v>0</v>
      </c>
    </row>
    <row r="69" spans="1:32" x14ac:dyDescent="0.15">
      <c r="A69" s="104" t="s">
        <v>103</v>
      </c>
      <c r="B69" s="264"/>
      <c r="C69" s="441"/>
      <c r="D69" s="441"/>
      <c r="E69" s="441"/>
      <c r="F69" s="441"/>
      <c r="G69" s="441"/>
      <c r="H69" s="441"/>
      <c r="I69" s="441"/>
      <c r="J69" s="441"/>
      <c r="K69" s="441"/>
      <c r="L69" s="441"/>
      <c r="M69" s="441"/>
      <c r="N69" s="441"/>
      <c r="O69" s="105"/>
      <c r="P69" s="275"/>
      <c r="Q69" s="274"/>
      <c r="R69" s="441"/>
      <c r="S69" s="441"/>
      <c r="T69" s="441"/>
      <c r="U69" s="441"/>
      <c r="V69" s="441"/>
      <c r="W69" s="441"/>
      <c r="X69" s="441"/>
      <c r="Y69" s="441"/>
      <c r="Z69" s="441"/>
      <c r="AA69" s="441"/>
      <c r="AB69" s="441"/>
      <c r="AC69" s="441"/>
      <c r="AD69" s="105"/>
      <c r="AE69" s="275"/>
      <c r="AF69" s="274"/>
    </row>
    <row r="70" spans="1:32" x14ac:dyDescent="0.15">
      <c r="A70" s="123" t="s">
        <v>104</v>
      </c>
      <c r="B70" s="123" t="e">
        <f>Units_Annual_Total</f>
        <v>#REF!</v>
      </c>
      <c r="C70" s="279" t="e">
        <f>C12+C18+C24+C30+C36+C42+C48+C54+C60+C65</f>
        <v>#REF!</v>
      </c>
      <c r="D70" s="279" t="e">
        <f t="shared" ref="D70:N70" si="182">D12+D18+D24+D30+D36+D42+D48+D54+D60+D65</f>
        <v>#REF!</v>
      </c>
      <c r="E70" s="279" t="e">
        <f t="shared" si="182"/>
        <v>#REF!</v>
      </c>
      <c r="F70" s="279" t="e">
        <f t="shared" si="182"/>
        <v>#REF!</v>
      </c>
      <c r="G70" s="279" t="e">
        <f t="shared" si="182"/>
        <v>#REF!</v>
      </c>
      <c r="H70" s="279" t="e">
        <f t="shared" si="182"/>
        <v>#REF!</v>
      </c>
      <c r="I70" s="279" t="e">
        <f t="shared" si="182"/>
        <v>#REF!</v>
      </c>
      <c r="J70" s="279" t="e">
        <f t="shared" si="182"/>
        <v>#REF!</v>
      </c>
      <c r="K70" s="279" t="e">
        <f t="shared" si="182"/>
        <v>#REF!</v>
      </c>
      <c r="L70" s="279" t="e">
        <f t="shared" si="182"/>
        <v>#REF!</v>
      </c>
      <c r="M70" s="279" t="e">
        <f t="shared" si="182"/>
        <v>#REF!</v>
      </c>
      <c r="N70" s="279" t="e">
        <f t="shared" si="182"/>
        <v>#REF!</v>
      </c>
      <c r="O70" s="280" t="e">
        <f t="shared" si="75"/>
        <v>#REF!</v>
      </c>
      <c r="P70" s="7"/>
      <c r="Q70" s="103"/>
      <c r="R70" s="279" t="e">
        <f t="shared" ref="R70:AC70" si="183">R12+R18+R24+R30+R36+R42+R48+R54+R60+R65</f>
        <v>#REF!</v>
      </c>
      <c r="S70" s="279" t="e">
        <f t="shared" si="183"/>
        <v>#REF!</v>
      </c>
      <c r="T70" s="279" t="e">
        <f t="shared" si="183"/>
        <v>#REF!</v>
      </c>
      <c r="U70" s="279" t="e">
        <f t="shared" si="183"/>
        <v>#REF!</v>
      </c>
      <c r="V70" s="279" t="e">
        <f t="shared" si="183"/>
        <v>#REF!</v>
      </c>
      <c r="W70" s="279" t="e">
        <f t="shared" si="183"/>
        <v>#REF!</v>
      </c>
      <c r="X70" s="279" t="e">
        <f t="shared" si="183"/>
        <v>#REF!</v>
      </c>
      <c r="Y70" s="279" t="e">
        <f t="shared" si="183"/>
        <v>#REF!</v>
      </c>
      <c r="Z70" s="279" t="e">
        <f t="shared" si="183"/>
        <v>#REF!</v>
      </c>
      <c r="AA70" s="279" t="e">
        <f t="shared" si="183"/>
        <v>#REF!</v>
      </c>
      <c r="AB70" s="279" t="e">
        <f t="shared" si="183"/>
        <v>#REF!</v>
      </c>
      <c r="AC70" s="279" t="e">
        <f t="shared" si="183"/>
        <v>#REF!</v>
      </c>
      <c r="AD70" s="280" t="e">
        <f t="shared" si="77"/>
        <v>#REF!</v>
      </c>
      <c r="AE70" s="7"/>
      <c r="AF70" s="103"/>
    </row>
    <row r="71" spans="1:32" x14ac:dyDescent="0.15">
      <c r="A71" s="124" t="s">
        <v>105</v>
      </c>
      <c r="B71" s="105" t="e">
        <f>Sales_Annual_Total</f>
        <v>#DIV/0!</v>
      </c>
      <c r="C71" s="125" t="e">
        <f t="shared" ref="C71:E71" si="184">C13+C19+C25+C31+C37+C43+C49+C55+C61+C66</f>
        <v>#REF!</v>
      </c>
      <c r="D71" s="125" t="e">
        <f t="shared" si="184"/>
        <v>#REF!</v>
      </c>
      <c r="E71" s="125" t="e">
        <f t="shared" si="184"/>
        <v>#REF!</v>
      </c>
      <c r="F71" s="125" t="e">
        <f>F13+F19+F25+F31+F37+F43+F49+F55+F61+F66</f>
        <v>#REF!</v>
      </c>
      <c r="G71" s="125" t="e">
        <f t="shared" ref="G71:N71" si="185">G13+G19+G25+G31+G37+G43+G49+G55+G61+G66</f>
        <v>#REF!</v>
      </c>
      <c r="H71" s="125" t="e">
        <f t="shared" si="185"/>
        <v>#REF!</v>
      </c>
      <c r="I71" s="125" t="e">
        <f t="shared" si="185"/>
        <v>#REF!</v>
      </c>
      <c r="J71" s="125" t="e">
        <f t="shared" si="185"/>
        <v>#REF!</v>
      </c>
      <c r="K71" s="125" t="e">
        <f t="shared" si="185"/>
        <v>#REF!</v>
      </c>
      <c r="L71" s="125" t="e">
        <f t="shared" si="185"/>
        <v>#REF!</v>
      </c>
      <c r="M71" s="125" t="e">
        <f t="shared" si="185"/>
        <v>#REF!</v>
      </c>
      <c r="N71" s="125" t="e">
        <f t="shared" si="185"/>
        <v>#REF!</v>
      </c>
      <c r="O71" s="105" t="e">
        <f t="shared" si="75"/>
        <v>#REF!</v>
      </c>
      <c r="P71" s="7"/>
      <c r="Q71" s="103"/>
      <c r="R71" s="125" t="e">
        <f t="shared" ref="R71:AC71" si="186">R13+R19+R25+R31+R37+R43+R49+R55+R61+R66</f>
        <v>#REF!</v>
      </c>
      <c r="S71" s="125" t="e">
        <f t="shared" si="186"/>
        <v>#REF!</v>
      </c>
      <c r="T71" s="125" t="e">
        <f t="shared" si="186"/>
        <v>#REF!</v>
      </c>
      <c r="U71" s="125" t="e">
        <f t="shared" si="186"/>
        <v>#REF!</v>
      </c>
      <c r="V71" s="125" t="e">
        <f t="shared" si="186"/>
        <v>#REF!</v>
      </c>
      <c r="W71" s="125" t="e">
        <f t="shared" si="186"/>
        <v>#REF!</v>
      </c>
      <c r="X71" s="125" t="e">
        <f t="shared" si="186"/>
        <v>#REF!</v>
      </c>
      <c r="Y71" s="125" t="e">
        <f t="shared" si="186"/>
        <v>#REF!</v>
      </c>
      <c r="Z71" s="125" t="e">
        <f t="shared" si="186"/>
        <v>#REF!</v>
      </c>
      <c r="AA71" s="125" t="e">
        <f t="shared" si="186"/>
        <v>#REF!</v>
      </c>
      <c r="AB71" s="125" t="e">
        <f t="shared" si="186"/>
        <v>#REF!</v>
      </c>
      <c r="AC71" s="125" t="e">
        <f t="shared" si="186"/>
        <v>#REF!</v>
      </c>
      <c r="AD71" s="105" t="e">
        <f t="shared" si="77"/>
        <v>#REF!</v>
      </c>
      <c r="AE71" s="7"/>
      <c r="AF71" s="103"/>
    </row>
    <row r="72" spans="1:32" x14ac:dyDescent="0.15">
      <c r="A72" s="100" t="s">
        <v>102</v>
      </c>
      <c r="B72" s="116" t="e">
        <f>COGS_Annual_Total</f>
        <v>#REF!</v>
      </c>
      <c r="C72" s="125" t="e">
        <f t="shared" ref="C72:E72" si="187">C14+C20+C26+C32+C38+C44+C50+C56+C62+C67</f>
        <v>#REF!</v>
      </c>
      <c r="D72" s="125" t="e">
        <f t="shared" si="187"/>
        <v>#REF!</v>
      </c>
      <c r="E72" s="125" t="e">
        <f t="shared" si="187"/>
        <v>#REF!</v>
      </c>
      <c r="F72" s="125" t="e">
        <f>F14+F20+F26+F32+F38+F44+F50+F56+F62+F67</f>
        <v>#REF!</v>
      </c>
      <c r="G72" s="125" t="e">
        <f t="shared" ref="G72:N72" si="188">G14+G20+G26+G32+G38+G44+G50+G56+G62+G67</f>
        <v>#REF!</v>
      </c>
      <c r="H72" s="125" t="e">
        <f t="shared" si="188"/>
        <v>#REF!</v>
      </c>
      <c r="I72" s="125" t="e">
        <f t="shared" si="188"/>
        <v>#REF!</v>
      </c>
      <c r="J72" s="125" t="e">
        <f t="shared" si="188"/>
        <v>#REF!</v>
      </c>
      <c r="K72" s="125" t="e">
        <f t="shared" si="188"/>
        <v>#REF!</v>
      </c>
      <c r="L72" s="125" t="e">
        <f t="shared" si="188"/>
        <v>#REF!</v>
      </c>
      <c r="M72" s="125" t="e">
        <f t="shared" si="188"/>
        <v>#REF!</v>
      </c>
      <c r="N72" s="125" t="e">
        <f t="shared" si="188"/>
        <v>#REF!</v>
      </c>
      <c r="O72" s="105" t="e">
        <f t="shared" si="75"/>
        <v>#REF!</v>
      </c>
      <c r="P72" s="7"/>
      <c r="Q72" s="103"/>
      <c r="R72" s="125" t="e">
        <f t="shared" ref="R72:AC72" si="189">R14+R20+R26+R32+R38+R44+R50+R56+R62+R67</f>
        <v>#REF!</v>
      </c>
      <c r="S72" s="125" t="e">
        <f t="shared" si="189"/>
        <v>#REF!</v>
      </c>
      <c r="T72" s="125" t="e">
        <f t="shared" si="189"/>
        <v>#REF!</v>
      </c>
      <c r="U72" s="125" t="e">
        <f t="shared" si="189"/>
        <v>#REF!</v>
      </c>
      <c r="V72" s="125" t="e">
        <f t="shared" si="189"/>
        <v>#REF!</v>
      </c>
      <c r="W72" s="125" t="e">
        <f t="shared" si="189"/>
        <v>#REF!</v>
      </c>
      <c r="X72" s="125" t="e">
        <f t="shared" si="189"/>
        <v>#REF!</v>
      </c>
      <c r="Y72" s="125" t="e">
        <f t="shared" si="189"/>
        <v>#REF!</v>
      </c>
      <c r="Z72" s="125" t="e">
        <f t="shared" si="189"/>
        <v>#REF!</v>
      </c>
      <c r="AA72" s="125" t="e">
        <f t="shared" si="189"/>
        <v>#REF!</v>
      </c>
      <c r="AB72" s="125" t="e">
        <f t="shared" si="189"/>
        <v>#REF!</v>
      </c>
      <c r="AC72" s="125" t="e">
        <f t="shared" si="189"/>
        <v>#REF!</v>
      </c>
      <c r="AD72" s="105" t="e">
        <f t="shared" si="77"/>
        <v>#REF!</v>
      </c>
      <c r="AE72" s="7"/>
      <c r="AF72" s="103"/>
    </row>
    <row r="73" spans="1:32" x14ac:dyDescent="0.15">
      <c r="A73" s="100" t="s">
        <v>106</v>
      </c>
      <c r="B73" s="116" t="e">
        <f>Margin_Annual_Total</f>
        <v>#REF!</v>
      </c>
      <c r="C73" s="126" t="e">
        <f t="shared" ref="C73" si="190">C71-C72</f>
        <v>#REF!</v>
      </c>
      <c r="D73" s="126" t="e">
        <f t="shared" ref="D73" si="191">D71-D72</f>
        <v>#REF!</v>
      </c>
      <c r="E73" s="126" t="e">
        <f t="shared" ref="E73" si="192">E71-E72</f>
        <v>#REF!</v>
      </c>
      <c r="F73" s="126" t="e">
        <f t="shared" ref="F73" si="193">F71-F72</f>
        <v>#REF!</v>
      </c>
      <c r="G73" s="126" t="e">
        <f t="shared" ref="G73" si="194">G71-G72</f>
        <v>#REF!</v>
      </c>
      <c r="H73" s="126" t="e">
        <f t="shared" ref="H73" si="195">H71-H72</f>
        <v>#REF!</v>
      </c>
      <c r="I73" s="126" t="e">
        <f t="shared" ref="I73" si="196">I71-I72</f>
        <v>#REF!</v>
      </c>
      <c r="J73" s="126" t="e">
        <f t="shared" ref="J73" si="197">J71-J72</f>
        <v>#REF!</v>
      </c>
      <c r="K73" s="126" t="e">
        <f t="shared" ref="K73" si="198">K71-K72</f>
        <v>#REF!</v>
      </c>
      <c r="L73" s="126" t="e">
        <f t="shared" ref="L73" si="199">L71-L72</f>
        <v>#REF!</v>
      </c>
      <c r="M73" s="126" t="e">
        <f t="shared" ref="M73" si="200">M71-M72</f>
        <v>#REF!</v>
      </c>
      <c r="N73" s="126" t="e">
        <f t="shared" ref="N73" si="201">N71-N72</f>
        <v>#REF!</v>
      </c>
      <c r="O73" s="116" t="e">
        <f>O15+O21+O27+O33+O39+O45+O51+O57+O63+O68</f>
        <v>#REF!</v>
      </c>
      <c r="P73" s="7"/>
      <c r="Q73" s="103"/>
      <c r="R73" s="126" t="e">
        <f t="shared" ref="R73:AC73" si="202">R71-R72</f>
        <v>#REF!</v>
      </c>
      <c r="S73" s="126" t="e">
        <f t="shared" si="202"/>
        <v>#REF!</v>
      </c>
      <c r="T73" s="126" t="e">
        <f t="shared" si="202"/>
        <v>#REF!</v>
      </c>
      <c r="U73" s="126" t="e">
        <f t="shared" si="202"/>
        <v>#REF!</v>
      </c>
      <c r="V73" s="126" t="e">
        <f t="shared" si="202"/>
        <v>#REF!</v>
      </c>
      <c r="W73" s="126" t="e">
        <f t="shared" si="202"/>
        <v>#REF!</v>
      </c>
      <c r="X73" s="126" t="e">
        <f t="shared" si="202"/>
        <v>#REF!</v>
      </c>
      <c r="Y73" s="126" t="e">
        <f t="shared" si="202"/>
        <v>#REF!</v>
      </c>
      <c r="Z73" s="126" t="e">
        <f t="shared" si="202"/>
        <v>#REF!</v>
      </c>
      <c r="AA73" s="126" t="e">
        <f t="shared" si="202"/>
        <v>#REF!</v>
      </c>
      <c r="AB73" s="126" t="e">
        <f t="shared" si="202"/>
        <v>#REF!</v>
      </c>
      <c r="AC73" s="126" t="e">
        <f t="shared" si="202"/>
        <v>#REF!</v>
      </c>
      <c r="AD73" s="116" t="e">
        <f>AD15+AD21+AD27+AD33+AD39+AD45+AD51+AD57+AD63+AD68</f>
        <v>#REF!</v>
      </c>
      <c r="AE73" s="7"/>
      <c r="AF73" s="103"/>
    </row>
  </sheetData>
  <sheetProtection algorithmName="SHA-512" hashValue="VZvO9af0lB8JxtmFtCfcd1zbTvnYyBY7DK9gg5AdecStxaSLK/B6i0TUG87O5cPr2Ce3HcREQL1fuS8unzk+OA==" saltValue="ymQ2JhRIA9ePgU74AgOnjA==" spinCount="100000" sheet="1" objects="1" scenarios="1" formatColumns="0"/>
  <mergeCells count="1">
    <mergeCell ref="C5:D5"/>
  </mergeCells>
  <phoneticPr fontId="3" type="noConversion"/>
  <conditionalFormatting sqref="C12:N15">
    <cfRule type="containsBlanks" dxfId="71" priority="16" stopIfTrue="1">
      <formula>LEN(TRIM(C12))=0</formula>
    </cfRule>
  </conditionalFormatting>
  <conditionalFormatting sqref="C18:N21">
    <cfRule type="containsBlanks" dxfId="70" priority="17" stopIfTrue="1">
      <formula>LEN(TRIM(C18))=0</formula>
    </cfRule>
  </conditionalFormatting>
  <conditionalFormatting sqref="C24:N27 C30:N33 C36:N39 C42:N44">
    <cfRule type="containsBlanks" dxfId="69" priority="18" stopIfTrue="1">
      <formula>LEN(TRIM(C24))=0</formula>
    </cfRule>
  </conditionalFormatting>
  <conditionalFormatting sqref="C48:N50">
    <cfRule type="containsBlanks" dxfId="68" priority="11" stopIfTrue="1">
      <formula>LEN(TRIM(C48))=0</formula>
    </cfRule>
  </conditionalFormatting>
  <conditionalFormatting sqref="C54:N56">
    <cfRule type="containsBlanks" dxfId="67" priority="9" stopIfTrue="1">
      <formula>LEN(TRIM(C54))=0</formula>
    </cfRule>
  </conditionalFormatting>
  <conditionalFormatting sqref="C60:N62">
    <cfRule type="containsBlanks" dxfId="66" priority="7" stopIfTrue="1">
      <formula>LEN(TRIM(C60))=0</formula>
    </cfRule>
  </conditionalFormatting>
  <conditionalFormatting sqref="C65:N67">
    <cfRule type="containsBlanks" dxfId="65" priority="5" stopIfTrue="1">
      <formula>LEN(TRIM(C65))=0</formula>
    </cfRule>
  </conditionalFormatting>
  <conditionalFormatting sqref="R12:AC14">
    <cfRule type="containsBlanks" dxfId="64" priority="13" stopIfTrue="1">
      <formula>LEN(TRIM(R12))=0</formula>
    </cfRule>
  </conditionalFormatting>
  <conditionalFormatting sqref="R18:AC20">
    <cfRule type="containsBlanks" dxfId="63" priority="14" stopIfTrue="1">
      <formula>LEN(TRIM(R18))=0</formula>
    </cfRule>
  </conditionalFormatting>
  <conditionalFormatting sqref="R24:AC26 R30:AC32 R36:AC38 R42:AC44">
    <cfRule type="containsBlanks" dxfId="62" priority="15" stopIfTrue="1">
      <formula>LEN(TRIM(R24))=0</formula>
    </cfRule>
  </conditionalFormatting>
  <conditionalFormatting sqref="R48:AC50">
    <cfRule type="containsBlanks" dxfId="61" priority="4" stopIfTrue="1">
      <formula>LEN(TRIM(R48))=0</formula>
    </cfRule>
  </conditionalFormatting>
  <conditionalFormatting sqref="R54:AC56">
    <cfRule type="containsBlanks" dxfId="60" priority="3" stopIfTrue="1">
      <formula>LEN(TRIM(R54))=0</formula>
    </cfRule>
  </conditionalFormatting>
  <conditionalFormatting sqref="R60:AC62">
    <cfRule type="containsBlanks" dxfId="59" priority="2" stopIfTrue="1">
      <formula>LEN(TRIM(R60))=0</formula>
    </cfRule>
  </conditionalFormatting>
  <conditionalFormatting sqref="R65:AC67">
    <cfRule type="containsBlanks" dxfId="58" priority="1" stopIfTrue="1">
      <formula>LEN(TRIM(R65))=0</formula>
    </cfRule>
  </conditionalFormatting>
  <printOptions horizontalCentered="1"/>
  <pageMargins left="0.7" right="0.7" top="0.75" bottom="0.75" header="0.3" footer="0.3"/>
  <pageSetup scale="57" fitToWidth="2" orientation="landscape"/>
  <headerFooter differentFirst="1" scaleWithDoc="0">
    <oddHeader>&amp;C&amp;"Gill Sans MT,Regular"&amp;12Sales Forecast Years 1-3</oddHeader>
    <oddFooter>&amp;L&amp;"Gill Sans MT,Regular"&amp;12&amp;F&amp;C&amp;"Gill Sans MT,Regular"&amp;12&amp;A&amp;R&amp;"Gill Sans MT,Regular"&amp;12&amp;D &amp;T</oddFooter>
    <evenHeader>&amp;C&amp;"Gill Sans MT,Regular"&amp;12Sales Forecast Years 1-3</evenHeader>
    <firstHeader>&amp;C&amp;"Gill Sans MT,Regular"&amp;12Sales Forecast Years 1-3</firstHeader>
    <firstFooter>&amp;L&amp;F&amp;C&amp;A&amp;R&amp;D &amp;T</firstFooter>
  </headerFooter>
  <drawing r:id="rId1"/>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a9f6b81-db59-4ca7-9e1f-eeb2dcf8af32" xsi:nil="true"/>
    <lcf76f155ced4ddcb4097134ff3c332f xmlns="9f2ffc44-eb08-4ce1-beb5-82b175f3215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7B5139C20DD874A94B732B2C43F5A7D" ma:contentTypeVersion="18" ma:contentTypeDescription="Create a new document." ma:contentTypeScope="" ma:versionID="e9d5e0c67f77c1e608dde24c85c2f134">
  <xsd:schema xmlns:xsd="http://www.w3.org/2001/XMLSchema" xmlns:xs="http://www.w3.org/2001/XMLSchema" xmlns:p="http://schemas.microsoft.com/office/2006/metadata/properties" xmlns:ns2="9f2ffc44-eb08-4ce1-beb5-82b175f32156" xmlns:ns3="aa9f6b81-db59-4ca7-9e1f-eeb2dcf8af32" targetNamespace="http://schemas.microsoft.com/office/2006/metadata/properties" ma:root="true" ma:fieldsID="16ae235580d6b4df6506283879307964" ns2:_="" ns3:_="">
    <xsd:import namespace="9f2ffc44-eb08-4ce1-beb5-82b175f32156"/>
    <xsd:import namespace="aa9f6b81-db59-4ca7-9e1f-eeb2dcf8af3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2ffc44-eb08-4ce1-beb5-82b175f321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e5a069af-8b1e-4eb0-9750-98453f3206c1"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a9f6b81-db59-4ca7-9e1f-eeb2dcf8af32"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8ccb2d03-e83e-4ec2-8db8-6cc9459b0fec}" ma:internalName="TaxCatchAll" ma:showField="CatchAllData" ma:web="aa9f6b81-db59-4ca7-9e1f-eeb2dcf8af3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BA42E9-B7A4-4082-AEA3-BE59F2DD06B5}">
  <ds:schemaRefs>
    <ds:schemaRef ds:uri="http://schemas.microsoft.com/sharepoint/v3/contenttype/forms"/>
  </ds:schemaRefs>
</ds:datastoreItem>
</file>

<file path=customXml/itemProps2.xml><?xml version="1.0" encoding="utf-8"?>
<ds:datastoreItem xmlns:ds="http://schemas.openxmlformats.org/officeDocument/2006/customXml" ds:itemID="{6D645A3D-3A30-4B8E-B538-DB431B9D090D}">
  <ds:schemaRefs>
    <ds:schemaRef ds:uri="http://purl.org/dc/terms/"/>
    <ds:schemaRef ds:uri="http://schemas.microsoft.com/office/2006/metadata/properties"/>
    <ds:schemaRef ds:uri="http://schemas.microsoft.com/office/2006/documentManagement/types"/>
    <ds:schemaRef ds:uri="9f2ffc44-eb08-4ce1-beb5-82b175f32156"/>
    <ds:schemaRef ds:uri="aa9f6b81-db59-4ca7-9e1f-eeb2dcf8af32"/>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2F12568F-D72F-427B-A401-882BBE51CF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2ffc44-eb08-4ce1-beb5-82b175f32156"/>
    <ds:schemaRef ds:uri="aa9f6b81-db59-4ca7-9e1f-eeb2dcf8af3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26</vt:i4>
      </vt:variant>
      <vt:variant>
        <vt:lpstr>Named Ranges</vt:lpstr>
      </vt:variant>
      <vt:variant>
        <vt:i4>147</vt:i4>
      </vt:variant>
    </vt:vector>
  </HeadingPairs>
  <TitlesOfParts>
    <vt:vector size="173" baseType="lpstr">
      <vt:lpstr>Directions</vt:lpstr>
      <vt:lpstr>1-StartingPoint</vt:lpstr>
      <vt:lpstr>4-AdditionalInputs</vt:lpstr>
      <vt:lpstr>2a-PayrollYear1</vt:lpstr>
      <vt:lpstr>2b-PayrollYrs1-3</vt:lpstr>
      <vt:lpstr>Instructions</vt:lpstr>
      <vt:lpstr>1-StartingPoint (2)</vt:lpstr>
      <vt:lpstr>SalesForecastYear1</vt:lpstr>
      <vt:lpstr>3b-SalesForecastYrs1-3</vt:lpstr>
      <vt:lpstr>5a-OpExYear1</vt:lpstr>
      <vt:lpstr>5b-OpExYrs1-3</vt:lpstr>
      <vt:lpstr>6a-CashFlowYear1</vt:lpstr>
      <vt:lpstr>6b-CashFlowYrs1-3</vt:lpstr>
      <vt:lpstr>7a-IncomeStatementYear1</vt:lpstr>
      <vt:lpstr>7b-IncomeStatementYrs1-3</vt:lpstr>
      <vt:lpstr>8-BalanceSheet</vt:lpstr>
      <vt:lpstr>BreakevenAnalysis</vt:lpstr>
      <vt:lpstr>FinancialRatios</vt:lpstr>
      <vt:lpstr>DiagnosticTools</vt:lpstr>
      <vt:lpstr>Pay Calculator</vt:lpstr>
      <vt:lpstr>Amortization&amp;Depreciation</vt:lpstr>
      <vt:lpstr>Tuition Calculator V2</vt:lpstr>
      <vt:lpstr>Annual PL Template</vt:lpstr>
      <vt:lpstr>Monthly Budget</vt:lpstr>
      <vt:lpstr>Rules of Thumb</vt:lpstr>
      <vt:lpstr>Sheet1</vt:lpstr>
      <vt:lpstr>'1-StartingPoint (2)'!AddLoans</vt:lpstr>
      <vt:lpstr>AddLoans</vt:lpstr>
      <vt:lpstr>'1-StartingPoint (2)'!Advertising</vt:lpstr>
      <vt:lpstr>Advertising</vt:lpstr>
      <vt:lpstr>'1-StartingPoint (2)'!Buildings</vt:lpstr>
      <vt:lpstr>Buildings</vt:lpstr>
      <vt:lpstr>Category1</vt:lpstr>
      <vt:lpstr>Category1_Annual_Sales</vt:lpstr>
      <vt:lpstr>Category10</vt:lpstr>
      <vt:lpstr>Category2</vt:lpstr>
      <vt:lpstr>Category2_Annual_Sales</vt:lpstr>
      <vt:lpstr>Category3</vt:lpstr>
      <vt:lpstr>Category3_Annual_Sales</vt:lpstr>
      <vt:lpstr>Category4</vt:lpstr>
      <vt:lpstr>Category4_Annual_Sales</vt:lpstr>
      <vt:lpstr>Category5</vt:lpstr>
      <vt:lpstr>Category5_Annual_Sales</vt:lpstr>
      <vt:lpstr>Category6</vt:lpstr>
      <vt:lpstr>Category7</vt:lpstr>
      <vt:lpstr>category7_Annual_sales</vt:lpstr>
      <vt:lpstr>Category7_Sales</vt:lpstr>
      <vt:lpstr>Category8_Annual_Sales</vt:lpstr>
      <vt:lpstr>Category8_Sales</vt:lpstr>
      <vt:lpstr>Category9</vt:lpstr>
      <vt:lpstr>Category9_Annual_Sales</vt:lpstr>
      <vt:lpstr>Category9_Sales</vt:lpstr>
      <vt:lpstr>Catergory6</vt:lpstr>
      <vt:lpstr>'1-StartingPoint (2)'!CCDebt</vt:lpstr>
      <vt:lpstr>CCDebt</vt:lpstr>
      <vt:lpstr>'1-StartingPoint (2)'!CommLoan</vt:lpstr>
      <vt:lpstr>CommLoan</vt:lpstr>
      <vt:lpstr>'1-StartingPoint (2)'!CommMortgage</vt:lpstr>
      <vt:lpstr>CommMortgage</vt:lpstr>
      <vt:lpstr>'1-StartingPoint (2)'!Equipment</vt:lpstr>
      <vt:lpstr>Equipment</vt:lpstr>
      <vt:lpstr>'1-StartingPoint (2)'!Furniture</vt:lpstr>
      <vt:lpstr>Furniture</vt:lpstr>
      <vt:lpstr>Growth_Rate_Yr2</vt:lpstr>
      <vt:lpstr>Growth_Rate_Yr3</vt:lpstr>
      <vt:lpstr>SalesForecastYear1!Hours</vt:lpstr>
      <vt:lpstr>'1-StartingPoint (2)'!Inventory</vt:lpstr>
      <vt:lpstr>Inventory</vt:lpstr>
      <vt:lpstr>'1-StartingPoint (2)'!Land</vt:lpstr>
      <vt:lpstr>Land</vt:lpstr>
      <vt:lpstr>'1-StartingPoint (2)'!LeaseImprovements</vt:lpstr>
      <vt:lpstr>LeaseImprovements</vt:lpstr>
      <vt:lpstr>'1-StartingPoint (2)'!LegalAcctFees</vt:lpstr>
      <vt:lpstr>LegalAcctFees</vt:lpstr>
      <vt:lpstr>'1-StartingPoint (2)'!Licenses</vt:lpstr>
      <vt:lpstr>Licenses</vt:lpstr>
      <vt:lpstr>Misc_Expenses</vt:lpstr>
      <vt:lpstr>NetIncomeY1</vt:lpstr>
      <vt:lpstr>NetIncomeY2</vt:lpstr>
      <vt:lpstr>NetIncomeY3</vt:lpstr>
      <vt:lpstr>OfficeSupplies_Expenses</vt:lpstr>
      <vt:lpstr>Other_Expenses</vt:lpstr>
      <vt:lpstr>'1-StartingPoint (2)'!OtherBankDebt</vt:lpstr>
      <vt:lpstr>OtherBankDebt</vt:lpstr>
      <vt:lpstr>'1-StartingPoint (2)'!OtherFixedAssets</vt:lpstr>
      <vt:lpstr>OtherFixedAssets</vt:lpstr>
      <vt:lpstr>'1-StartingPoint (2)'!OtherStartUp</vt:lpstr>
      <vt:lpstr>OtherStartUp</vt:lpstr>
      <vt:lpstr>'1-StartingPoint (2)'!OutsideInvest</vt:lpstr>
      <vt:lpstr>OutsideInvest</vt:lpstr>
      <vt:lpstr>'1-StartingPoint (2)'!OwnerEquity</vt:lpstr>
      <vt:lpstr>OwnerEquity</vt:lpstr>
      <vt:lpstr>'1-StartingPoint (2)'!PreOpenWages</vt:lpstr>
      <vt:lpstr>PreOpenWages</vt:lpstr>
      <vt:lpstr>'1-StartingPoint (2)'!PrepaidInsurance</vt:lpstr>
      <vt:lpstr>PrepaidInsurance</vt:lpstr>
      <vt:lpstr>'1-StartingPoint'!Print_Area</vt:lpstr>
      <vt:lpstr>'1-StartingPoint (2)'!Print_Area</vt:lpstr>
      <vt:lpstr>'2a-PayrollYear1'!Print_Area</vt:lpstr>
      <vt:lpstr>'2b-PayrollYrs1-3'!Print_Area</vt:lpstr>
      <vt:lpstr>'3b-SalesForecastYrs1-3'!Print_Area</vt:lpstr>
      <vt:lpstr>'4-AdditionalInputs'!Print_Area</vt:lpstr>
      <vt:lpstr>'5a-OpExYear1'!Print_Area</vt:lpstr>
      <vt:lpstr>'5b-OpExYrs1-3'!Print_Area</vt:lpstr>
      <vt:lpstr>'6a-CashFlowYear1'!Print_Area</vt:lpstr>
      <vt:lpstr>'6b-CashFlowYrs1-3'!Print_Area</vt:lpstr>
      <vt:lpstr>'7a-IncomeStatementYear1'!Print_Area</vt:lpstr>
      <vt:lpstr>'7b-IncomeStatementYrs1-3'!Print_Area</vt:lpstr>
      <vt:lpstr>'8-BalanceSheet'!Print_Area</vt:lpstr>
      <vt:lpstr>'Amortization&amp;Depreciation'!Print_Area</vt:lpstr>
      <vt:lpstr>'Annual PL Template'!Print_Area</vt:lpstr>
      <vt:lpstr>BreakevenAnalysis!Print_Area</vt:lpstr>
      <vt:lpstr>DiagnosticTools!Print_Area</vt:lpstr>
      <vt:lpstr>Directions!Print_Area</vt:lpstr>
      <vt:lpstr>FinancialRatios!Print_Area</vt:lpstr>
      <vt:lpstr>Instructions!Print_Area</vt:lpstr>
      <vt:lpstr>'Monthly Budget'!Print_Area</vt:lpstr>
      <vt:lpstr>'Pay Calculator'!Print_Area</vt:lpstr>
      <vt:lpstr>'Rules of Thumb'!Print_Area</vt:lpstr>
      <vt:lpstr>SalesForecastYear1!Print_Area</vt:lpstr>
      <vt:lpstr>'Tuition Calculator V2'!Print_Area</vt:lpstr>
      <vt:lpstr>'3b-SalesForecastYrs1-3'!Print_Titles</vt:lpstr>
      <vt:lpstr>'6b-CashFlowYrs1-3'!Print_Titles</vt:lpstr>
      <vt:lpstr>'Monthly Budget'!Print_Titles</vt:lpstr>
      <vt:lpstr>SalesForecastYear1!Print_Titles</vt:lpstr>
      <vt:lpstr>'1-StartingPoint (2)'!RentDeposit</vt:lpstr>
      <vt:lpstr>RentDeposit</vt:lpstr>
      <vt:lpstr>Sales_Annual_Total</vt:lpstr>
      <vt:lpstr>'1-StartingPoint (2)'!Supplies</vt:lpstr>
      <vt:lpstr>Supplies</vt:lpstr>
      <vt:lpstr>'1-StartingPoint (2)'!Total_Fixed_Assets</vt:lpstr>
      <vt:lpstr>Total_Fixed_Assets</vt:lpstr>
      <vt:lpstr>'1-StartingPoint (2)'!TotalFixedAssets</vt:lpstr>
      <vt:lpstr>TotalFixedAssets</vt:lpstr>
      <vt:lpstr>'1-StartingPoint (2)'!TotalFunding</vt:lpstr>
      <vt:lpstr>TotalFunding</vt:lpstr>
      <vt:lpstr>'1-StartingPoint (2)'!TotalOperatingCapital</vt:lpstr>
      <vt:lpstr>TotalOperatingCapital</vt:lpstr>
      <vt:lpstr>'1-StartingPoint (2)'!TotalRequiredFunds</vt:lpstr>
      <vt:lpstr>TotalRequiredFunds</vt:lpstr>
      <vt:lpstr>Uniit8_Annual</vt:lpstr>
      <vt:lpstr>Unit1</vt:lpstr>
      <vt:lpstr>Unit1_Annual</vt:lpstr>
      <vt:lpstr>Unit1_Annual_Sales</vt:lpstr>
      <vt:lpstr>Unit10</vt:lpstr>
      <vt:lpstr>Unit2</vt:lpstr>
      <vt:lpstr>Unit2_Annual</vt:lpstr>
      <vt:lpstr>Unit2_Annual_Sales</vt:lpstr>
      <vt:lpstr>Unit3</vt:lpstr>
      <vt:lpstr>Unit3_Annual</vt:lpstr>
      <vt:lpstr>Unit3_Annual_Sales</vt:lpstr>
      <vt:lpstr>Unit4</vt:lpstr>
      <vt:lpstr>Unit4_Annual</vt:lpstr>
      <vt:lpstr>Unit5</vt:lpstr>
      <vt:lpstr>Unit5_Annual</vt:lpstr>
      <vt:lpstr>Unit6</vt:lpstr>
      <vt:lpstr>Unit7</vt:lpstr>
      <vt:lpstr>Unit7_Annual</vt:lpstr>
      <vt:lpstr>Unit8</vt:lpstr>
      <vt:lpstr>Unit8_Annual</vt:lpstr>
      <vt:lpstr>Unit9</vt:lpstr>
      <vt:lpstr>Unit9_Annual</vt:lpstr>
      <vt:lpstr>'1-StartingPoint (2)'!UtilityDeposit</vt:lpstr>
      <vt:lpstr>UtilityDeposit</vt:lpstr>
      <vt:lpstr>'1-StartingPoint (2)'!VehicleLoan</vt:lpstr>
      <vt:lpstr>VehicleLoan</vt:lpstr>
      <vt:lpstr>'1-StartingPoint (2)'!Vehicles</vt:lpstr>
      <vt:lpstr>Vehicles</vt:lpstr>
      <vt:lpstr>'1-StartingPoint (2)'!Working_Capital</vt:lpstr>
      <vt:lpstr>Working_Capital</vt:lpstr>
      <vt:lpstr>'1-StartingPoint (2)'!WorkingCapital</vt:lpstr>
      <vt:lpstr>WorkingCapital</vt:lpstr>
      <vt:lpstr>Y1EndingCashBal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Simple Steps for Starting Your Business</dc:title>
  <dc:subject>Business start-up financial forecast</dc:subject>
  <dc:creator>Heather Hendy</dc:creator>
  <cp:keywords>business, start-up, financial, forecast</cp:keywords>
  <dc:description>This SCORE Workbook is designed to help start-up companies make financial projections that will allow them to make a "go-no go" decision about starting a new company.</dc:description>
  <cp:lastModifiedBy>Nikki Roberts</cp:lastModifiedBy>
  <cp:lastPrinted>2021-11-23T14:55:57Z</cp:lastPrinted>
  <dcterms:created xsi:type="dcterms:W3CDTF">2011-04-16T18:04:50Z</dcterms:created>
  <dcterms:modified xsi:type="dcterms:W3CDTF">2026-03-07T18:20:06Z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0x01010037B5139C20DD874A94B732B2C43F5A7D</vt:lpwstr>
  </property>
  <property fmtid="{D5CDD505-2E9C-101B-9397-08002B2CF9AE}" pid="3" name="AuthorIds_UIVersion_512">
    <vt:lpwstr>9</vt:lpwstr>
  </property>
  <property fmtid="{D5CDD505-2E9C-101B-9397-08002B2CF9AE}" pid="4" name="MediaServiceImageTags">
    <vt:lpwstr/>
  </property>
</Properties>
</file>